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70\MEDI AMBIENT\PORTA A PORTA\25 TAXA COMARCAL\Excels de treball\2026\"/>
    </mc:Choice>
  </mc:AlternateContent>
  <xr:revisionPtr revIDLastSave="0" documentId="13_ncr:1_{8A73C031-011D-47CA-BE7E-F80B76E6BCE0}" xr6:coauthVersionLast="36" xr6:coauthVersionMax="36" xr10:uidLastSave="{00000000-0000-0000-0000-000000000000}"/>
  <bookViews>
    <workbookView xWindow="-15" yWindow="-15" windowWidth="20415" windowHeight="6405" tabRatio="899" xr2:uid="{00000000-000D-0000-FFFF-FFFF00000000}"/>
  </bookViews>
  <sheets>
    <sheet name="DESPESES GLOBALS" sheetId="42" r:id="rId1"/>
    <sheet name="DESPESES ESPECÍFIQUES" sheetId="43" r:id="rId2"/>
    <sheet name="INGRESSOS SERVEIS" sheetId="33" r:id="rId3"/>
    <sheet name="COST SERVEI" sheetId="36" r:id="rId4"/>
    <sheet name="RECAPTACIÓ HABITATGES" sheetId="37" r:id="rId5"/>
    <sheet name="RECAPTACIÓ COMERCIAL " sheetId="47" r:id="rId6"/>
    <sheet name="CÀLCUL QUOTES set25" sheetId="52" r:id="rId7"/>
    <sheet name="BALANÇ FINAL set25" sheetId="53" r:id="rId8"/>
    <sheet name="Extres" sheetId="50" state="hidden" r:id="rId9"/>
    <sheet name="DESPESES SERVEIS" sheetId="31" state="hidden" r:id="rId10"/>
    <sheet name="PART FIXA DOM." sheetId="48" state="hidden" r:id="rId11"/>
    <sheet name="PART VARIABLE DOM." sheetId="49" state="hidden" r:id="rId12"/>
    <sheet name="Part fixa+específica" sheetId="45" state="hidden" r:id="rId13"/>
    <sheet name="import de licitació" sheetId="6" state="hidden" r:id="rId14"/>
    <sheet name="BANYERES PODA" sheetId="51" state="hidden" r:id="rId15"/>
  </sheets>
  <definedNames>
    <definedName name="_xlnm._FilterDatabase" localSheetId="8" hidden="1">Extres!$A$5:$K$60</definedName>
    <definedName name="_xlnm.Print_Area" localSheetId="7">'BALANÇ FINAL set25'!$A$46:$C$55</definedName>
    <definedName name="_xlnm.Print_Area" localSheetId="6">'CÀLCUL QUOTES set25'!$A$1:$R$51</definedName>
    <definedName name="_xlnm.Print_Area" localSheetId="3">'COST SERVEI'!$A$3:$C$9</definedName>
    <definedName name="_xlnm.Print_Area" localSheetId="1">'DESPESES ESPECÍFIQUES'!$A$3:$E$47</definedName>
    <definedName name="_xlnm.Print_Area" localSheetId="0">'DESPESES GLOBALS'!$A$3:$C$11</definedName>
    <definedName name="_xlnm.Print_Area" localSheetId="2">'INGRESSOS SERVEIS'!$A$2:$B$8</definedName>
    <definedName name="_xlnm.Print_Area" localSheetId="5">'RECAPTACIÓ COMERCIAL '!$A$2:$F$28</definedName>
    <definedName name="_xlnm.Print_Area" localSheetId="4">'RECAPTACIÓ HABITATGES'!$A$1:$R$68</definedName>
  </definedNames>
  <calcPr calcId="191029"/>
</workbook>
</file>

<file path=xl/calcChain.xml><?xml version="1.0" encoding="utf-8"?>
<calcChain xmlns="http://schemas.openxmlformats.org/spreadsheetml/2006/main">
  <c r="E48" i="50" l="1"/>
  <c r="D48" i="50" s="1"/>
  <c r="D34" i="50"/>
  <c r="F18" i="53" l="1"/>
  <c r="E18" i="53"/>
  <c r="C17" i="53"/>
  <c r="C15" i="53"/>
  <c r="C11" i="53"/>
  <c r="C9" i="53"/>
  <c r="C8" i="53"/>
  <c r="C6" i="53"/>
  <c r="C5" i="53"/>
  <c r="D9" i="53" l="1"/>
  <c r="C7" i="53"/>
  <c r="D6" i="53"/>
  <c r="D8" i="53"/>
  <c r="C4" i="53"/>
  <c r="D4" i="53" s="1"/>
  <c r="C16" i="53"/>
  <c r="D16" i="53" s="1"/>
  <c r="D11" i="53"/>
  <c r="D15" i="53"/>
  <c r="D17" i="53"/>
  <c r="D7" i="53"/>
  <c r="C14" i="53"/>
  <c r="D14" i="53" s="1"/>
  <c r="D5" i="53"/>
  <c r="C13" i="53"/>
  <c r="D13" i="53" s="1"/>
  <c r="C10" i="53"/>
  <c r="D10" i="53" s="1"/>
  <c r="C12" i="53" l="1"/>
  <c r="D12" i="53" s="1"/>
  <c r="C18" i="53"/>
  <c r="D18" i="53" s="1"/>
  <c r="N122" i="52" l="1"/>
  <c r="L122" i="52"/>
  <c r="K122" i="52"/>
  <c r="J122" i="52"/>
  <c r="I116" i="52"/>
  <c r="I114" i="52"/>
  <c r="D113" i="52"/>
  <c r="D96" i="52"/>
  <c r="D122" i="52" s="1"/>
  <c r="D95" i="52"/>
  <c r="D121" i="52" s="1"/>
  <c r="D93" i="52"/>
  <c r="D119" i="52" s="1"/>
  <c r="D92" i="52"/>
  <c r="D118" i="52" s="1"/>
  <c r="D91" i="52"/>
  <c r="D117" i="52" s="1"/>
  <c r="D89" i="52"/>
  <c r="D115" i="52" s="1"/>
  <c r="N88" i="52"/>
  <c r="L88" i="52"/>
  <c r="K88" i="52"/>
  <c r="J88" i="52"/>
  <c r="D88" i="52"/>
  <c r="D114" i="52" s="1"/>
  <c r="D87" i="52"/>
  <c r="D86" i="52"/>
  <c r="D112" i="52" s="1"/>
  <c r="D84" i="52"/>
  <c r="D110" i="52" s="1"/>
  <c r="D83" i="52"/>
  <c r="D109" i="52" s="1"/>
  <c r="I82" i="52"/>
  <c r="D82" i="52"/>
  <c r="D108" i="52" s="1"/>
  <c r="D81" i="52"/>
  <c r="D107" i="52" s="1"/>
  <c r="I80" i="52"/>
  <c r="D66" i="52"/>
  <c r="D68" i="52" s="1"/>
  <c r="R56" i="52"/>
  <c r="D67" i="52" l="1"/>
  <c r="C84" i="52" s="1"/>
  <c r="E84" i="52" s="1"/>
  <c r="C122" i="52"/>
  <c r="E122" i="52" s="1"/>
  <c r="C117" i="52"/>
  <c r="E117" i="52" s="1"/>
  <c r="C113" i="52"/>
  <c r="E113" i="52" s="1"/>
  <c r="C108" i="52"/>
  <c r="E108" i="52" s="1"/>
  <c r="C114" i="52"/>
  <c r="E114" i="52" s="1"/>
  <c r="C109" i="52"/>
  <c r="E109" i="52" s="1"/>
  <c r="C119" i="52"/>
  <c r="E119" i="52" s="1"/>
  <c r="C110" i="52"/>
  <c r="E110" i="52" s="1"/>
  <c r="C115" i="52"/>
  <c r="E115" i="52" s="1"/>
  <c r="C121" i="52"/>
  <c r="E121" i="52" s="1"/>
  <c r="C112" i="52"/>
  <c r="E112" i="52" s="1"/>
  <c r="C107" i="52"/>
  <c r="E107" i="52" s="1"/>
  <c r="C118" i="52"/>
  <c r="E118" i="52" s="1"/>
  <c r="J123" i="52"/>
  <c r="K123" i="52" s="1"/>
  <c r="L123" i="52" s="1"/>
  <c r="N123" i="52" s="1"/>
  <c r="C87" i="52" l="1"/>
  <c r="E87" i="52" s="1"/>
  <c r="C91" i="52"/>
  <c r="E91" i="52" s="1"/>
  <c r="C95" i="52"/>
  <c r="E95" i="52" s="1"/>
  <c r="C89" i="52"/>
  <c r="E89" i="52" s="1"/>
  <c r="C86" i="52"/>
  <c r="E86" i="52" s="1"/>
  <c r="C83" i="52"/>
  <c r="E83" i="52" s="1"/>
  <c r="C93" i="52"/>
  <c r="E93" i="52" s="1"/>
  <c r="C88" i="52"/>
  <c r="E88" i="52" s="1"/>
  <c r="C81" i="52"/>
  <c r="E81" i="52" s="1"/>
  <c r="H59" i="52"/>
  <c r="D59" i="52"/>
  <c r="D60" i="52" s="1"/>
  <c r="C96" i="52"/>
  <c r="E96" i="52" s="1"/>
  <c r="C82" i="52"/>
  <c r="E82" i="52" s="1"/>
  <c r="C92" i="52"/>
  <c r="E92" i="52" s="1"/>
  <c r="E103" i="52"/>
  <c r="O59" i="52"/>
  <c r="K59" i="52"/>
  <c r="K60" i="52" s="1"/>
  <c r="J59" i="52"/>
  <c r="J60" i="52" s="1"/>
  <c r="I59" i="52"/>
  <c r="I60" i="52" s="1"/>
  <c r="F59" i="52"/>
  <c r="E101" i="52"/>
  <c r="E100" i="52"/>
  <c r="E102" i="52"/>
  <c r="E75" i="52" l="1"/>
  <c r="E77" i="52"/>
  <c r="H60" i="52"/>
  <c r="E76" i="52"/>
  <c r="E74" i="52"/>
  <c r="O60" i="52"/>
  <c r="F60" i="52"/>
  <c r="E59" i="52"/>
  <c r="E123" i="52"/>
  <c r="E104" i="52"/>
  <c r="E97" i="52" l="1"/>
  <c r="E78" i="52"/>
  <c r="D69" i="52" s="1"/>
  <c r="E60" i="52"/>
  <c r="E105" i="52"/>
  <c r="D70" i="52"/>
  <c r="E79" i="52" l="1"/>
  <c r="D71" i="52"/>
  <c r="E17" i="50" l="1"/>
  <c r="B10" i="51" l="1"/>
  <c r="C59" i="31" l="1"/>
  <c r="D59" i="31"/>
  <c r="E59" i="31"/>
  <c r="F59" i="31"/>
  <c r="G59" i="31"/>
  <c r="H59" i="31"/>
  <c r="I59" i="31"/>
  <c r="J59" i="31"/>
  <c r="K59" i="31"/>
  <c r="L59" i="31"/>
  <c r="M59" i="31"/>
  <c r="N59" i="31"/>
  <c r="O59" i="31"/>
  <c r="P59" i="31"/>
  <c r="B22" i="49" l="1"/>
  <c r="B21" i="49"/>
  <c r="B17" i="49"/>
  <c r="B18" i="49"/>
  <c r="B16" i="49"/>
  <c r="C11" i="48" l="1"/>
  <c r="D11" i="48"/>
  <c r="E11" i="48"/>
  <c r="F11" i="48"/>
  <c r="G11" i="48"/>
  <c r="C27" i="48"/>
  <c r="D27" i="48"/>
  <c r="E27" i="48"/>
  <c r="F27" i="48"/>
  <c r="G27" i="48"/>
  <c r="B11" i="48"/>
  <c r="C5" i="48"/>
  <c r="D5" i="48"/>
  <c r="E5" i="48"/>
  <c r="F5" i="48"/>
  <c r="G5" i="48"/>
  <c r="H5" i="48"/>
  <c r="B5" i="48"/>
  <c r="B27" i="48" l="1"/>
  <c r="C21" i="48"/>
  <c r="D21" i="48"/>
  <c r="E21" i="48"/>
  <c r="F21" i="48"/>
  <c r="G21" i="48"/>
  <c r="H21" i="48"/>
  <c r="B21" i="48"/>
  <c r="B22" i="48" l="1"/>
  <c r="C22" i="48"/>
  <c r="D22" i="48"/>
  <c r="E22" i="48"/>
  <c r="F22" i="48"/>
  <c r="G22" i="48"/>
  <c r="H22" i="48"/>
  <c r="B28" i="48"/>
  <c r="C28" i="48"/>
  <c r="D28" i="48"/>
  <c r="E28" i="48"/>
  <c r="F28" i="48"/>
  <c r="G28" i="48"/>
  <c r="E6" i="48" l="1"/>
  <c r="D6" i="48"/>
  <c r="H6" i="48"/>
  <c r="D12" i="48"/>
  <c r="C12" i="48"/>
  <c r="B6" i="48"/>
  <c r="B12" i="48"/>
  <c r="C6" i="48"/>
  <c r="G12" i="48"/>
  <c r="F12" i="48"/>
  <c r="G6" i="48"/>
  <c r="E12" i="48"/>
  <c r="F6" i="48"/>
  <c r="D8" i="45" l="1"/>
  <c r="D9" i="45"/>
  <c r="D10" i="45"/>
  <c r="D11" i="45"/>
  <c r="D12" i="45"/>
  <c r="D13" i="45"/>
  <c r="D14" i="45"/>
  <c r="D15" i="45"/>
  <c r="D16" i="45"/>
  <c r="D17" i="45"/>
  <c r="D18" i="45"/>
  <c r="D19" i="45"/>
  <c r="D7" i="45"/>
  <c r="E37" i="50" l="1"/>
  <c r="E56" i="50" l="1"/>
  <c r="E54" i="50"/>
  <c r="E52" i="50"/>
  <c r="E47" i="50"/>
  <c r="E44" i="50"/>
  <c r="E43" i="50"/>
  <c r="E34" i="50"/>
  <c r="E32" i="50"/>
  <c r="E29" i="50"/>
  <c r="E27" i="50"/>
  <c r="E26" i="50"/>
  <c r="E21" i="50"/>
  <c r="E19" i="50"/>
  <c r="E8" i="50"/>
  <c r="E36" i="50" l="1"/>
  <c r="E38" i="50"/>
  <c r="E39" i="50"/>
  <c r="E40" i="50"/>
  <c r="E41" i="50"/>
  <c r="E35" i="50"/>
  <c r="K24" i="50"/>
  <c r="F41" i="50" l="1"/>
  <c r="F40" i="50"/>
  <c r="F39" i="50"/>
  <c r="F38" i="50"/>
  <c r="F37" i="50"/>
  <c r="F36" i="50"/>
  <c r="F35" i="50"/>
  <c r="F22" i="50" l="1"/>
  <c r="E31" i="50"/>
  <c r="D31" i="50" s="1"/>
  <c r="E46" i="50"/>
  <c r="D46" i="50" s="1"/>
  <c r="E14" i="50"/>
  <c r="D14" i="50" s="1"/>
  <c r="E13" i="50"/>
  <c r="D13" i="50" s="1"/>
  <c r="E28" i="50"/>
  <c r="D28" i="50" s="1"/>
  <c r="F51" i="50"/>
  <c r="E51" i="50" s="1"/>
  <c r="D51" i="50" s="1"/>
  <c r="E25" i="50"/>
  <c r="D25" i="50" s="1"/>
  <c r="E55" i="50"/>
  <c r="D55" i="50" s="1"/>
  <c r="E24" i="50"/>
  <c r="D24" i="50" s="1"/>
  <c r="E23" i="50"/>
  <c r="D23" i="50" s="1"/>
  <c r="E53" i="50"/>
  <c r="D53" i="50" s="1"/>
  <c r="E50" i="50"/>
  <c r="D50" i="50" s="1"/>
  <c r="E20" i="50"/>
  <c r="D20" i="50" s="1"/>
  <c r="E49" i="50"/>
  <c r="D49" i="50" s="1"/>
  <c r="E18" i="50"/>
  <c r="D18" i="50" s="1"/>
  <c r="D17" i="50"/>
  <c r="E16" i="50"/>
  <c r="D16" i="50" s="1"/>
  <c r="E15" i="50"/>
  <c r="D15" i="50" s="1"/>
  <c r="E42" i="50"/>
  <c r="D42" i="50" s="1"/>
  <c r="E45" i="50"/>
  <c r="D45" i="50" s="1"/>
  <c r="E11" i="50"/>
  <c r="D11" i="50" s="1"/>
  <c r="E10" i="50"/>
  <c r="D10" i="50" s="1"/>
  <c r="E9" i="50"/>
  <c r="D9" i="50" s="1"/>
  <c r="E30" i="50"/>
  <c r="D30" i="50" s="1"/>
  <c r="E7" i="50"/>
  <c r="D7" i="50" s="1"/>
  <c r="E6" i="50"/>
  <c r="D6" i="50" s="1"/>
  <c r="D61" i="31" l="1"/>
  <c r="E61" i="31"/>
  <c r="F61" i="31"/>
  <c r="G61" i="31"/>
  <c r="H61" i="31"/>
  <c r="I61" i="31"/>
  <c r="J61" i="31"/>
  <c r="K61" i="31"/>
  <c r="L61" i="31"/>
  <c r="M61" i="31"/>
  <c r="N61" i="31"/>
  <c r="O61" i="31"/>
  <c r="D60" i="31"/>
  <c r="E60" i="31"/>
  <c r="F60" i="31"/>
  <c r="G60" i="31"/>
  <c r="H60" i="31"/>
  <c r="I60" i="31"/>
  <c r="J60" i="31"/>
  <c r="K60" i="31"/>
  <c r="L60" i="31"/>
  <c r="M60" i="31"/>
  <c r="N60" i="31"/>
  <c r="O60" i="31"/>
  <c r="D58" i="31"/>
  <c r="E58" i="31"/>
  <c r="F58" i="31"/>
  <c r="G58" i="31"/>
  <c r="H58" i="31"/>
  <c r="I58" i="31"/>
  <c r="J58" i="31"/>
  <c r="K58" i="31"/>
  <c r="L58" i="31"/>
  <c r="M58" i="31"/>
  <c r="N58" i="31"/>
  <c r="O58" i="31"/>
  <c r="D57" i="31"/>
  <c r="E57" i="31"/>
  <c r="F57" i="31"/>
  <c r="G57" i="31"/>
  <c r="H57" i="31"/>
  <c r="I57" i="31"/>
  <c r="J57" i="31"/>
  <c r="K57" i="31"/>
  <c r="L57" i="31"/>
  <c r="M57" i="31"/>
  <c r="N57" i="31"/>
  <c r="O57" i="31"/>
  <c r="E56" i="31"/>
  <c r="F56" i="31"/>
  <c r="G56" i="31"/>
  <c r="H56" i="31"/>
  <c r="I56" i="31"/>
  <c r="J56" i="31"/>
  <c r="K56" i="31"/>
  <c r="L56" i="31"/>
  <c r="M56" i="31"/>
  <c r="N56" i="31"/>
  <c r="O56" i="31"/>
  <c r="C56" i="31"/>
  <c r="D56" i="31"/>
  <c r="D55" i="31"/>
  <c r="E55" i="31"/>
  <c r="F55" i="31"/>
  <c r="G55" i="31"/>
  <c r="H55" i="31"/>
  <c r="I55" i="31"/>
  <c r="J55" i="31"/>
  <c r="K55" i="31"/>
  <c r="L55" i="31"/>
  <c r="M55" i="31"/>
  <c r="N55" i="31"/>
  <c r="O55" i="31"/>
  <c r="D54" i="31"/>
  <c r="E54" i="31"/>
  <c r="F54" i="31"/>
  <c r="G54" i="31"/>
  <c r="H54" i="31"/>
  <c r="I54" i="31"/>
  <c r="J54" i="31"/>
  <c r="K54" i="31"/>
  <c r="L54" i="31"/>
  <c r="M54" i="31"/>
  <c r="N54" i="31"/>
  <c r="O54" i="31"/>
  <c r="D50" i="31"/>
  <c r="E50" i="31"/>
  <c r="F50" i="31"/>
  <c r="G50" i="31"/>
  <c r="H50" i="31"/>
  <c r="I50" i="31"/>
  <c r="J50" i="31"/>
  <c r="K50" i="31"/>
  <c r="L50" i="31"/>
  <c r="M50" i="31"/>
  <c r="N50" i="31"/>
  <c r="O50" i="31"/>
  <c r="E49" i="31"/>
  <c r="J49" i="31"/>
  <c r="L49" i="31"/>
  <c r="M49" i="31"/>
  <c r="O49" i="31"/>
  <c r="C50" i="31"/>
  <c r="C54" i="31"/>
  <c r="C55" i="31"/>
  <c r="C57" i="31"/>
  <c r="C58" i="31"/>
  <c r="C60" i="31"/>
  <c r="C61" i="31"/>
  <c r="L59" i="52" l="1"/>
  <c r="F49" i="31"/>
  <c r="C62" i="31"/>
  <c r="L60" i="52" l="1"/>
  <c r="P61" i="31" l="1"/>
  <c r="P60" i="31"/>
  <c r="P57" i="31"/>
  <c r="P56" i="31"/>
  <c r="P55" i="31"/>
  <c r="J16" i="6"/>
  <c r="I16" i="6"/>
  <c r="H16" i="6"/>
  <c r="F16" i="6"/>
  <c r="G15" i="6"/>
  <c r="B15" i="6"/>
  <c r="G14" i="6"/>
  <c r="B14" i="6"/>
  <c r="B13" i="6"/>
  <c r="B12" i="6"/>
  <c r="G11" i="6"/>
  <c r="E11" i="6"/>
  <c r="E16" i="6" s="1"/>
  <c r="C11" i="6"/>
  <c r="C10" i="6"/>
  <c r="B9" i="6"/>
  <c r="B8" i="6"/>
  <c r="B7" i="6"/>
  <c r="B6" i="6"/>
  <c r="B5" i="6"/>
  <c r="B4" i="6"/>
  <c r="B3" i="6"/>
  <c r="D2" i="6"/>
  <c r="D16" i="6" s="1"/>
  <c r="B13" i="49"/>
  <c r="B12" i="49"/>
  <c r="B11" i="49"/>
  <c r="B10" i="49"/>
  <c r="B7" i="49"/>
  <c r="B6" i="49"/>
  <c r="B5" i="49"/>
  <c r="B4" i="49"/>
  <c r="D22" i="49"/>
  <c r="D21" i="49"/>
  <c r="D18" i="49"/>
  <c r="D17" i="49"/>
  <c r="D16" i="49"/>
  <c r="D13" i="49"/>
  <c r="D12" i="49"/>
  <c r="D10" i="49"/>
  <c r="D6" i="49"/>
  <c r="D5" i="49"/>
  <c r="O62" i="31"/>
  <c r="N62" i="31"/>
  <c r="M62" i="31"/>
  <c r="L62" i="31"/>
  <c r="K62" i="31"/>
  <c r="J62" i="31"/>
  <c r="I62" i="31"/>
  <c r="H62" i="31"/>
  <c r="G62" i="31"/>
  <c r="E62" i="31"/>
  <c r="D62" i="31"/>
  <c r="K41" i="31"/>
  <c r="F41" i="31"/>
  <c r="D41" i="31"/>
  <c r="E41" i="31" s="1"/>
  <c r="K40" i="31"/>
  <c r="F40" i="31"/>
  <c r="D40" i="31"/>
  <c r="E40" i="31" s="1"/>
  <c r="K39" i="31"/>
  <c r="F39" i="31"/>
  <c r="D39" i="31"/>
  <c r="E39" i="31" s="1"/>
  <c r="K38" i="31"/>
  <c r="F38" i="31"/>
  <c r="D38" i="31"/>
  <c r="E38" i="31" s="1"/>
  <c r="K37" i="31"/>
  <c r="F37" i="31"/>
  <c r="D37" i="31"/>
  <c r="E37" i="31" s="1"/>
  <c r="K36" i="31"/>
  <c r="F36" i="31"/>
  <c r="D36" i="31"/>
  <c r="E36" i="31" s="1"/>
  <c r="K35" i="31"/>
  <c r="F35" i="31"/>
  <c r="D35" i="31"/>
  <c r="E35" i="31" s="1"/>
  <c r="K34" i="31"/>
  <c r="F34" i="31"/>
  <c r="D34" i="31"/>
  <c r="E34" i="31" s="1"/>
  <c r="K33" i="31"/>
  <c r="F33" i="31"/>
  <c r="D33" i="31"/>
  <c r="E33" i="31" s="1"/>
  <c r="K32" i="31"/>
  <c r="F32" i="31"/>
  <c r="D32" i="31"/>
  <c r="E32" i="31" s="1"/>
  <c r="K31" i="31"/>
  <c r="F31" i="31"/>
  <c r="D31" i="31"/>
  <c r="E31" i="31" s="1"/>
  <c r="K30" i="31"/>
  <c r="F30" i="31"/>
  <c r="D30" i="31"/>
  <c r="E30" i="31" s="1"/>
  <c r="K29" i="31"/>
  <c r="F29" i="31"/>
  <c r="D29" i="31"/>
  <c r="E29" i="31" s="1"/>
  <c r="K28" i="31"/>
  <c r="F28" i="31"/>
  <c r="D28" i="31"/>
  <c r="E28" i="31" s="1"/>
  <c r="U18" i="31"/>
  <c r="S18" i="31"/>
  <c r="R18" i="31"/>
  <c r="L18" i="31"/>
  <c r="K18" i="31"/>
  <c r="J18" i="31"/>
  <c r="G18" i="31"/>
  <c r="F18" i="31"/>
  <c r="E18" i="31"/>
  <c r="D18" i="31"/>
  <c r="O17" i="31"/>
  <c r="M17" i="31"/>
  <c r="P17" i="31" s="1"/>
  <c r="O16" i="31"/>
  <c r="I16" i="31"/>
  <c r="I18" i="31" s="1"/>
  <c r="H16" i="31"/>
  <c r="O15" i="31"/>
  <c r="M15" i="31"/>
  <c r="P15" i="31" s="1"/>
  <c r="O14" i="31"/>
  <c r="M14" i="31"/>
  <c r="P14" i="31" s="1"/>
  <c r="O13" i="31"/>
  <c r="M13" i="31"/>
  <c r="O12" i="31"/>
  <c r="H12" i="31"/>
  <c r="O11" i="31"/>
  <c r="M11" i="31"/>
  <c r="P11" i="31" s="1"/>
  <c r="O10" i="31"/>
  <c r="M10" i="31"/>
  <c r="N10" i="31" s="1"/>
  <c r="O9" i="31"/>
  <c r="M9" i="31"/>
  <c r="N9" i="31" s="1"/>
  <c r="O8" i="31"/>
  <c r="M8" i="31"/>
  <c r="P8" i="31" s="1"/>
  <c r="O7" i="31"/>
  <c r="M7" i="31"/>
  <c r="P7" i="31" s="1"/>
  <c r="O6" i="31"/>
  <c r="M6" i="31"/>
  <c r="O5" i="31"/>
  <c r="M5" i="31"/>
  <c r="P5" i="31" s="1"/>
  <c r="O4" i="31"/>
  <c r="M4" i="31"/>
  <c r="O1" i="31"/>
  <c r="P58" i="31" l="1"/>
  <c r="B11" i="6"/>
  <c r="Q5" i="31"/>
  <c r="Q8" i="31"/>
  <c r="M16" i="31"/>
  <c r="N16" i="31" s="1"/>
  <c r="N17" i="31"/>
  <c r="B2" i="6"/>
  <c r="Q7" i="31"/>
  <c r="P9" i="31"/>
  <c r="Q9" i="31" s="1"/>
  <c r="N15" i="31"/>
  <c r="H11" i="48"/>
  <c r="H27" i="48"/>
  <c r="N8" i="31"/>
  <c r="F42" i="31"/>
  <c r="C16" i="6"/>
  <c r="N5" i="31"/>
  <c r="N7" i="31"/>
  <c r="P10" i="31"/>
  <c r="Q10" i="31" s="1"/>
  <c r="Q15" i="31"/>
  <c r="Q17" i="31"/>
  <c r="O18" i="31"/>
  <c r="G16" i="6"/>
  <c r="Q11" i="31"/>
  <c r="N11" i="31"/>
  <c r="Q14" i="31"/>
  <c r="H28" i="48"/>
  <c r="E35" i="45"/>
  <c r="F35" i="45" s="1"/>
  <c r="E34" i="45"/>
  <c r="F34" i="45" s="1"/>
  <c r="E41" i="45"/>
  <c r="F41" i="45" s="1"/>
  <c r="E31" i="45"/>
  <c r="F31" i="45" s="1"/>
  <c r="E39" i="45"/>
  <c r="F39" i="45" s="1"/>
  <c r="E33" i="45"/>
  <c r="F33" i="45" s="1"/>
  <c r="L48" i="31"/>
  <c r="G48" i="31"/>
  <c r="C48" i="31"/>
  <c r="H18" i="31"/>
  <c r="M12" i="31"/>
  <c r="N4" i="31"/>
  <c r="N14" i="31"/>
  <c r="D7" i="49"/>
  <c r="I49" i="31"/>
  <c r="P4" i="31"/>
  <c r="Q4" i="31" s="1"/>
  <c r="P6" i="31"/>
  <c r="Q6" i="31" s="1"/>
  <c r="N6" i="31"/>
  <c r="P13" i="31"/>
  <c r="Q13" i="31" s="1"/>
  <c r="N13" i="31"/>
  <c r="D4" i="49"/>
  <c r="D11" i="49"/>
  <c r="K49" i="31"/>
  <c r="C49" i="31"/>
  <c r="N49" i="31"/>
  <c r="B10" i="6"/>
  <c r="D49" i="31"/>
  <c r="P49" i="31"/>
  <c r="G49" i="31"/>
  <c r="P50" i="31"/>
  <c r="H49" i="31"/>
  <c r="D42" i="31"/>
  <c r="E42" i="31" s="1"/>
  <c r="D51" i="31"/>
  <c r="G51" i="31"/>
  <c r="J51" i="31"/>
  <c r="L51" i="31"/>
  <c r="O51" i="31"/>
  <c r="E51" i="31"/>
  <c r="E48" i="31"/>
  <c r="H48" i="31"/>
  <c r="M48" i="31"/>
  <c r="F51" i="31"/>
  <c r="I51" i="31"/>
  <c r="K51" i="31"/>
  <c r="N51" i="31"/>
  <c r="G47" i="31"/>
  <c r="L47" i="31"/>
  <c r="D48" i="31"/>
  <c r="J48" i="31"/>
  <c r="O48" i="31"/>
  <c r="H51" i="31"/>
  <c r="M51" i="31"/>
  <c r="E47" i="31"/>
  <c r="D47" i="31"/>
  <c r="J47" i="31"/>
  <c r="O47" i="31"/>
  <c r="C47" i="31"/>
  <c r="I47" i="31"/>
  <c r="N47" i="31"/>
  <c r="H47" i="31"/>
  <c r="M47" i="31"/>
  <c r="F62" i="31"/>
  <c r="I48" i="31" l="1"/>
  <c r="P16" i="31"/>
  <c r="Q16" i="31" s="1"/>
  <c r="P54" i="31"/>
  <c r="P62" i="31" s="1"/>
  <c r="E6" i="49"/>
  <c r="H12" i="48"/>
  <c r="M18" i="31"/>
  <c r="I19" i="31" s="1"/>
  <c r="N48" i="31"/>
  <c r="E11" i="45"/>
  <c r="F11" i="45" s="1"/>
  <c r="C13" i="49"/>
  <c r="E5" i="49"/>
  <c r="C12" i="49"/>
  <c r="C10" i="49"/>
  <c r="C11" i="49"/>
  <c r="E12" i="45"/>
  <c r="F12" i="45" s="1"/>
  <c r="E40" i="45"/>
  <c r="F40" i="45" s="1"/>
  <c r="E42" i="45"/>
  <c r="F42" i="45" s="1"/>
  <c r="E36" i="45"/>
  <c r="F36" i="45" s="1"/>
  <c r="E38" i="45"/>
  <c r="F38" i="45" s="1"/>
  <c r="E37" i="45"/>
  <c r="F37" i="45" s="1"/>
  <c r="E18" i="45"/>
  <c r="E8" i="45"/>
  <c r="E16" i="45"/>
  <c r="E10" i="45"/>
  <c r="E32" i="45"/>
  <c r="F32" i="45" s="1"/>
  <c r="F47" i="31"/>
  <c r="K48" i="31"/>
  <c r="K47" i="31"/>
  <c r="P47" i="31"/>
  <c r="P12" i="31"/>
  <c r="Q12" i="31" s="1"/>
  <c r="N12" i="31"/>
  <c r="C51" i="31"/>
  <c r="K19" i="31" l="1"/>
  <c r="C6" i="49"/>
  <c r="E7" i="45"/>
  <c r="F7" i="45" s="1"/>
  <c r="E30" i="45"/>
  <c r="F30" i="45" s="1"/>
  <c r="N18" i="31"/>
  <c r="L19" i="31"/>
  <c r="E19" i="31"/>
  <c r="P18" i="31"/>
  <c r="Q18" i="31" s="1"/>
  <c r="F19" i="31"/>
  <c r="G19" i="31"/>
  <c r="J19" i="31"/>
  <c r="D19" i="31"/>
  <c r="H19" i="31"/>
  <c r="E21" i="49"/>
  <c r="C21" i="49"/>
  <c r="E16" i="49"/>
  <c r="C16" i="49"/>
  <c r="E18" i="49"/>
  <c r="C18" i="49"/>
  <c r="E17" i="49"/>
  <c r="C17" i="49"/>
  <c r="E22" i="49"/>
  <c r="C22" i="49"/>
  <c r="C5" i="49"/>
  <c r="E13" i="49"/>
  <c r="E10" i="49"/>
  <c r="E15" i="45"/>
  <c r="E19" i="45"/>
  <c r="F19" i="45" s="1"/>
  <c r="E12" i="49"/>
  <c r="E11" i="49"/>
  <c r="C7" i="49"/>
  <c r="E7" i="49"/>
  <c r="C4" i="49"/>
  <c r="E4" i="49"/>
  <c r="E14" i="45"/>
  <c r="E13" i="45"/>
  <c r="E17" i="45"/>
  <c r="F8" i="45"/>
  <c r="F10" i="45"/>
  <c r="F16" i="45"/>
  <c r="F18" i="45"/>
  <c r="E9" i="45"/>
  <c r="F48" i="31"/>
  <c r="P51" i="31"/>
  <c r="M19" i="31" l="1"/>
  <c r="E8" i="49"/>
  <c r="E19" i="49"/>
  <c r="E23" i="49"/>
  <c r="E14" i="49"/>
  <c r="F15" i="45"/>
  <c r="F14" i="45"/>
  <c r="F13" i="45"/>
  <c r="F17" i="45"/>
  <c r="F9" i="45"/>
  <c r="P48" i="31"/>
  <c r="E24" i="49" l="1"/>
  <c r="B29" i="49" s="1"/>
  <c r="M52" i="31" l="1"/>
  <c r="M53" i="31" s="1"/>
  <c r="E52" i="31"/>
  <c r="E53" i="31" s="1"/>
  <c r="J52" i="31"/>
  <c r="J53" i="31" s="1"/>
  <c r="O52" i="31"/>
  <c r="O53" i="31" s="1"/>
  <c r="N52" i="31"/>
  <c r="N53" i="31" s="1"/>
  <c r="P52" i="31"/>
  <c r="P53" i="31" s="1"/>
  <c r="P63" i="31" s="1"/>
  <c r="H52" i="31"/>
  <c r="H53" i="31" s="1"/>
  <c r="F52" i="31" l="1"/>
  <c r="F53" i="31" s="1"/>
  <c r="F63" i="31" s="1"/>
  <c r="L52" i="31"/>
  <c r="L53" i="31" s="1"/>
  <c r="D52" i="31"/>
  <c r="D53" i="31" s="1"/>
  <c r="D63" i="31" s="1"/>
  <c r="K52" i="31"/>
  <c r="K53" i="31" s="1"/>
  <c r="K63" i="31" s="1"/>
  <c r="G52" i="31"/>
  <c r="G53" i="31" s="1"/>
  <c r="C52" i="31"/>
  <c r="C53" i="31" s="1"/>
  <c r="I52" i="31"/>
  <c r="I53" i="31" s="1"/>
  <c r="M63" i="31"/>
  <c r="O63" i="31"/>
  <c r="N63" i="31"/>
  <c r="E63" i="31"/>
  <c r="J63" i="31"/>
  <c r="H63" i="31"/>
  <c r="L63" i="31" l="1"/>
  <c r="C63" i="31"/>
  <c r="G63" i="31"/>
  <c r="I63" i="31"/>
  <c r="P59" i="52"/>
  <c r="P60" i="52" s="1"/>
  <c r="N59" i="52"/>
  <c r="N60" i="52" s="1"/>
  <c r="G59" i="52"/>
  <c r="G60" i="52" s="1"/>
  <c r="Q59" i="52"/>
  <c r="Q60" i="52"/>
  <c r="L56" i="52"/>
  <c r="L58" i="52" s="1"/>
  <c r="L62" i="52" s="1"/>
  <c r="L57" i="52"/>
  <c r="L61" i="52" s="1"/>
  <c r="L63" i="52" s="1"/>
  <c r="O56" i="52"/>
  <c r="I56" i="52"/>
  <c r="I58" i="52" s="1"/>
  <c r="I62" i="52" s="1"/>
  <c r="P56" i="52"/>
  <c r="P58" i="52" s="1"/>
  <c r="P62" i="52" s="1"/>
  <c r="P57" i="52"/>
  <c r="P61" i="52" s="1"/>
  <c r="G56" i="52"/>
  <c r="G58" i="52" s="1"/>
  <c r="G62" i="52" s="1"/>
  <c r="G57" i="52"/>
  <c r="G61" i="52" s="1"/>
  <c r="Q56" i="52"/>
  <c r="Q57" i="52" s="1"/>
  <c r="N56" i="52"/>
  <c r="D56" i="52"/>
  <c r="D57" i="52" s="1"/>
  <c r="D61" i="52" s="1"/>
  <c r="F56" i="52"/>
  <c r="F58" i="52" s="1"/>
  <c r="F62" i="52" s="1"/>
  <c r="F57" i="52"/>
  <c r="F61" i="52" s="1"/>
  <c r="E56" i="52"/>
  <c r="E57" i="52" s="1"/>
  <c r="E61" i="52" s="1"/>
  <c r="H56" i="52"/>
  <c r="H58" i="52" s="1"/>
  <c r="H62" i="52" s="1"/>
  <c r="C13" i="48"/>
  <c r="D13" i="48"/>
  <c r="K56" i="52"/>
  <c r="K57" i="52" s="1"/>
  <c r="K61" i="52" s="1"/>
  <c r="J56" i="52"/>
  <c r="J58" i="52" s="1"/>
  <c r="J62" i="52" s="1"/>
  <c r="J63" i="52" s="1"/>
  <c r="J57" i="52"/>
  <c r="J61" i="52" s="1"/>
  <c r="G63" i="52" l="1"/>
  <c r="F63" i="52"/>
  <c r="Q61" i="52"/>
  <c r="I57" i="52"/>
  <c r="I61" i="52" s="1"/>
  <c r="I63" i="52" s="1"/>
  <c r="E29" i="48"/>
  <c r="F7" i="48"/>
  <c r="P63" i="52"/>
  <c r="H57" i="52"/>
  <c r="H61" i="52" s="1"/>
  <c r="H63" i="52" s="1"/>
  <c r="Q58" i="52"/>
  <c r="Q62" i="52" s="1"/>
  <c r="Q63" i="52" s="1"/>
  <c r="E58" i="52"/>
  <c r="E62" i="52" s="1"/>
  <c r="E63" i="52" s="1"/>
  <c r="R61" i="52"/>
  <c r="C23" i="48"/>
  <c r="C24" i="48"/>
  <c r="H7" i="48"/>
  <c r="D58" i="52"/>
  <c r="D62" i="52" s="1"/>
  <c r="R62" i="52" s="1"/>
  <c r="N57" i="52"/>
  <c r="N61" i="52" s="1"/>
  <c r="N58" i="52"/>
  <c r="N62" i="52" s="1"/>
  <c r="K58" i="52"/>
  <c r="K62" i="52" s="1"/>
  <c r="K63" i="52" s="1"/>
  <c r="O58" i="52"/>
  <c r="O62" i="52" s="1"/>
  <c r="O57" i="52"/>
  <c r="O61" i="52" s="1"/>
  <c r="O63" i="52" s="1"/>
  <c r="B7" i="48"/>
  <c r="E13" i="48"/>
  <c r="C25" i="48" l="1"/>
  <c r="C38" i="48" s="1"/>
  <c r="E30" i="48"/>
  <c r="F8" i="48"/>
  <c r="F9" i="48"/>
  <c r="F37" i="48" s="1"/>
  <c r="N63" i="52"/>
  <c r="H8" i="48"/>
  <c r="C14" i="48"/>
  <c r="G7" i="48"/>
  <c r="C29" i="48"/>
  <c r="C30" i="48"/>
  <c r="E14" i="48"/>
  <c r="B8" i="48"/>
  <c r="H24" i="48"/>
  <c r="H23" i="48"/>
  <c r="D14" i="48"/>
  <c r="F23" i="48"/>
  <c r="D7" i="48"/>
  <c r="G29" i="48"/>
  <c r="D30" i="48"/>
  <c r="D29" i="48"/>
  <c r="D63" i="52"/>
  <c r="B13" i="48"/>
  <c r="B24" i="48"/>
  <c r="B23" i="48"/>
  <c r="R63" i="52"/>
  <c r="E31" i="48" l="1"/>
  <c r="E42" i="48" s="1"/>
  <c r="H25" i="48"/>
  <c r="H38" i="48" s="1"/>
  <c r="D31" i="48"/>
  <c r="D42" i="48" s="1"/>
  <c r="G14" i="48"/>
  <c r="G15" i="48"/>
  <c r="G41" i="48" s="1"/>
  <c r="G13" i="48"/>
  <c r="B9" i="48"/>
  <c r="B37" i="48" s="1"/>
  <c r="F25" i="48"/>
  <c r="F38" i="48" s="1"/>
  <c r="F39" i="48" s="1"/>
  <c r="D8" i="48"/>
  <c r="G23" i="48"/>
  <c r="G24" i="48"/>
  <c r="B14" i="48"/>
  <c r="F24" i="48"/>
  <c r="E23" i="48"/>
  <c r="E24" i="48"/>
  <c r="B15" i="48"/>
  <c r="B41" i="48" s="1"/>
  <c r="C15" i="48"/>
  <c r="C41" i="48" s="1"/>
  <c r="G30" i="48"/>
  <c r="E15" i="48"/>
  <c r="E41" i="48" s="1"/>
  <c r="C31" i="48"/>
  <c r="C42" i="48" s="1"/>
  <c r="F13" i="48"/>
  <c r="C7" i="48"/>
  <c r="E7" i="48"/>
  <c r="F29" i="48"/>
  <c r="F30" i="48"/>
  <c r="D24" i="48"/>
  <c r="D23" i="48"/>
  <c r="G8" i="48"/>
  <c r="D15" i="48"/>
  <c r="D41" i="48" s="1"/>
  <c r="D43" i="48" s="1"/>
  <c r="B29" i="48"/>
  <c r="B30" i="48"/>
  <c r="H9" i="48"/>
  <c r="H37" i="48" s="1"/>
  <c r="H39" i="48" s="1"/>
  <c r="E43" i="48" l="1"/>
  <c r="F31" i="48"/>
  <c r="F42" i="48" s="1"/>
  <c r="E25" i="48"/>
  <c r="E38" i="48" s="1"/>
  <c r="E9" i="48"/>
  <c r="E37" i="48" s="1"/>
  <c r="G31" i="48"/>
  <c r="G42" i="48" s="1"/>
  <c r="G43" i="48" s="1"/>
  <c r="B25" i="48"/>
  <c r="B38" i="48" s="1"/>
  <c r="B39" i="48" s="1"/>
  <c r="D9" i="48"/>
  <c r="D37" i="48" s="1"/>
  <c r="F15" i="48"/>
  <c r="F41" i="48" s="1"/>
  <c r="C43" i="48"/>
  <c r="F14" i="48"/>
  <c r="E8" i="48"/>
  <c r="G9" i="48"/>
  <c r="G37" i="48" s="1"/>
  <c r="D25" i="48"/>
  <c r="D38" i="48" s="1"/>
  <c r="C8" i="48"/>
  <c r="G25" i="48"/>
  <c r="G38" i="48" s="1"/>
  <c r="F43" i="48" l="1"/>
  <c r="G39" i="48"/>
  <c r="E39" i="48"/>
  <c r="H31" i="48"/>
  <c r="H42" i="48" s="1"/>
  <c r="B31" i="48"/>
  <c r="B42" i="48" s="1"/>
  <c r="B43" i="48" s="1"/>
  <c r="C9" i="48"/>
  <c r="C37" i="48" s="1"/>
  <c r="H15" i="48"/>
  <c r="H41" i="48" s="1"/>
  <c r="D39" i="48"/>
  <c r="H43" i="48" l="1"/>
  <c r="B28" i="49" s="1"/>
  <c r="B30" i="4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</author>
  </authors>
  <commentList>
    <comment ref="A60" authorId="0" shapeId="0" xr:uid="{00000000-0006-0000-0600-000015000000}">
      <text>
        <r>
          <rPr>
            <b/>
            <sz val="8"/>
            <color indexed="81"/>
            <rFont val="Tahoma"/>
            <family val="2"/>
          </rPr>
          <t>.:</t>
        </r>
        <r>
          <rPr>
            <sz val="8"/>
            <color indexed="81"/>
            <rFont val="Tahoma"/>
            <family val="2"/>
          </rPr>
          <t xml:space="preserve">
Apliquem descompte del 30%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</author>
    <author>practiques.mambient</author>
  </authors>
  <commentList>
    <comment ref="A6" authorId="0" shapeId="0" xr:uid="{00000000-0006-0000-0800-000001000000}">
      <text>
        <r>
          <rPr>
            <b/>
            <sz val="8"/>
            <color indexed="81"/>
            <rFont val="Tahoma"/>
            <family val="2"/>
          </rPr>
          <t>.:</t>
        </r>
        <r>
          <rPr>
            <sz val="8"/>
            <color indexed="81"/>
            <rFont val="Tahoma"/>
            <family val="2"/>
          </rPr>
          <t xml:space="preserve">
AT construïda després de la implantació del PAP.</t>
        </r>
      </text>
    </comment>
    <comment ref="A9" authorId="0" shapeId="0" xr:uid="{00000000-0006-0000-0800-000002000000}">
      <text>
        <r>
          <rPr>
            <b/>
            <sz val="8"/>
            <color indexed="81"/>
            <rFont val="Tahoma"/>
            <family val="2"/>
          </rPr>
          <t>.:</t>
        </r>
        <r>
          <rPr>
            <sz val="8"/>
            <color indexed="81"/>
            <rFont val="Tahoma"/>
            <family val="2"/>
          </rPr>
          <t xml:space="preserve">
AT construïda després de la implantació del PAP.</t>
        </r>
      </text>
    </comment>
    <comment ref="A19" authorId="1" shapeId="0" xr:uid="{00000000-0006-0000-0800-000003000000}">
      <text>
        <r>
          <rPr>
            <b/>
            <sz val="8"/>
            <color indexed="81"/>
            <rFont val="Tahoma"/>
            <family val="2"/>
          </rPr>
          <t>practiques.mambient:</t>
        </r>
        <r>
          <rPr>
            <sz val="8"/>
            <color indexed="81"/>
            <rFont val="Tahoma"/>
            <family val="2"/>
          </rPr>
          <t xml:space="preserve">
Aquesta despesa no la imputem al PxG ja que correspon a NV i el liquidarem mensualment a l'Ajuntament.</t>
        </r>
      </text>
    </comment>
  </commentList>
</comments>
</file>

<file path=xl/sharedStrings.xml><?xml version="1.0" encoding="utf-8"?>
<sst xmlns="http://schemas.openxmlformats.org/spreadsheetml/2006/main" count="1040" uniqueCount="390">
  <si>
    <t>Aiguaviva</t>
  </si>
  <si>
    <t>Bescanó</t>
  </si>
  <si>
    <t>Bordils</t>
  </si>
  <si>
    <t>Cervià deTer</t>
  </si>
  <si>
    <t>Flaçà</t>
  </si>
  <si>
    <t>Fornells de la Selva</t>
  </si>
  <si>
    <t>Juià</t>
  </si>
  <si>
    <t>Llambilles</t>
  </si>
  <si>
    <t>Quart</t>
  </si>
  <si>
    <t>Sant Gregori</t>
  </si>
  <si>
    <t>Sant Joan de Mollet</t>
  </si>
  <si>
    <t>Sant Julià de Ramis</t>
  </si>
  <si>
    <t>Campllong</t>
  </si>
  <si>
    <t>Sarrià deTer</t>
  </si>
  <si>
    <t>TOTAL</t>
  </si>
  <si>
    <t>FORM</t>
  </si>
  <si>
    <t>ENVASOS</t>
  </si>
  <si>
    <t>PiC</t>
  </si>
  <si>
    <t>HABITATGES TOTAL</t>
  </si>
  <si>
    <t>HABITATGES PaP NUCLI</t>
  </si>
  <si>
    <t>HABITATGES BAIXES FREQÜÈNCIES</t>
  </si>
  <si>
    <t>GP BAIXES FREQÜÈNCIES</t>
  </si>
  <si>
    <t>VIDRE</t>
  </si>
  <si>
    <t>PODA</t>
  </si>
  <si>
    <t>RESTA</t>
  </si>
  <si>
    <t>RS</t>
  </si>
  <si>
    <t>IMPROPIS FORM</t>
  </si>
  <si>
    <t>TRACTAMENT FORM</t>
  </si>
  <si>
    <t>PART VARIABLE</t>
  </si>
  <si>
    <t>COST SERVEI</t>
  </si>
  <si>
    <t>DESPESES CONSELL</t>
  </si>
  <si>
    <t>ÀREES TANCADES</t>
  </si>
  <si>
    <t>AIGUAVIVA</t>
  </si>
  <si>
    <t>HABITATGES DISSEMINATS</t>
  </si>
  <si>
    <t>GP DISSEMINATS</t>
  </si>
  <si>
    <t>GP NUCLIS</t>
  </si>
  <si>
    <t>Llambilles (NO LI CARRGEUEM LES 57 ACTIVITATS)</t>
  </si>
  <si>
    <t>BORDILS</t>
  </si>
  <si>
    <t>BESCANÓ</t>
  </si>
  <si>
    <t>CAMPLLONG</t>
  </si>
  <si>
    <t>CERVIÀ DE TER</t>
  </si>
  <si>
    <t>FLAÇÀ</t>
  </si>
  <si>
    <t>FORNELLS DE LA SELVA</t>
  </si>
  <si>
    <t>JUIÀ</t>
  </si>
  <si>
    <t>QUART</t>
  </si>
  <si>
    <t>SANT GREGORI</t>
  </si>
  <si>
    <t>SANT JOAN DE MOLLET</t>
  </si>
  <si>
    <t>SANT JULIÀ DE RAMIS</t>
  </si>
  <si>
    <t>SARRIÀ DE TER</t>
  </si>
  <si>
    <t>DEIXALLERIA</t>
  </si>
  <si>
    <t>IMPORT DE LICITACIÓ</t>
  </si>
  <si>
    <t>COST RECOLLIDA PAP</t>
  </si>
  <si>
    <t xml:space="preserve">ESTIMACIÓ COST RECOLLIDA FV </t>
  </si>
  <si>
    <t>Sant Julià de Ramis (inclou medinyà)</t>
  </si>
  <si>
    <t>ESTIMACIÓ COST TRACTAMENT FORM</t>
  </si>
  <si>
    <t>TRASTOS</t>
  </si>
  <si>
    <t>ROBA</t>
  </si>
  <si>
    <t>ESTIMAT COM SI TOT EL 2022 HAGUÉS ESTAT PAP</t>
  </si>
  <si>
    <t>DADES 2022 (NO ESTIMAT)</t>
  </si>
  <si>
    <t>FALTEN DADES DE LA RECOLLIDA DE PODA PER PART DE L'AJUNTAMENT</t>
  </si>
  <si>
    <t>TOTAL 2021</t>
  </si>
  <si>
    <t>POBLACIÓ 2021</t>
  </si>
  <si>
    <t>438,36</t>
  </si>
  <si>
    <t>POBLACIÓ 2022</t>
  </si>
  <si>
    <t>DADES ARC 2021</t>
  </si>
  <si>
    <t>GENERACIÓ PER CÀPITA 2021 (KG/HAB/DIA)</t>
  </si>
  <si>
    <t>VARIACIÓ GENERACIÓ PER CÀPITA</t>
  </si>
  <si>
    <t>DESPESES (IVA INCLÒS)</t>
  </si>
  <si>
    <t>INGRESSOS (SENSE IVA)</t>
  </si>
  <si>
    <t>DESPESES CC RECAPTACIÓ TAXA COMARCAL</t>
  </si>
  <si>
    <t>GESTIÓ CC RECOLLIDA PAP</t>
  </si>
  <si>
    <t>COST RECOLLIDA VOLUMINOSOS (inclou despeses gestió CC)</t>
  </si>
  <si>
    <t>COST RECOLLIDA OLI VEGETAL USAT (inclou despeses gestió CC)</t>
  </si>
  <si>
    <t>DEIXALLERIA (inclou despeses gestió CC)</t>
  </si>
  <si>
    <t>atenció bolquers (qr)</t>
  </si>
  <si>
    <t>APORTACIONS ANUALS</t>
  </si>
  <si>
    <t>TRAM PARTICIPACIÓ MOLT BAIXA</t>
  </si>
  <si>
    <t>TRAM PARTICIPACIÓ BAIXA</t>
  </si>
  <si>
    <t>TRAM PARTICIPACIÓ MITJANA</t>
  </si>
  <si>
    <t>6 - 26</t>
  </si>
  <si>
    <t>PART FIXA</t>
  </si>
  <si>
    <t>RECAPTACIÓ MÀXIMA</t>
  </si>
  <si>
    <t>RECAPTACIÓ ALTA</t>
  </si>
  <si>
    <t xml:space="preserve"> RECAPTACIÓ MITJANA</t>
  </si>
  <si>
    <t xml:space="preserve"> RECAPTACIÓ BAIXA</t>
  </si>
  <si>
    <t>&gt; 46</t>
  </si>
  <si>
    <t>TRAMS PARTICIPACIÓ PAP NUCLI</t>
  </si>
  <si>
    <t>&gt; 52</t>
  </si>
  <si>
    <t>&lt; 3</t>
  </si>
  <si>
    <t>3 - 5</t>
  </si>
  <si>
    <t>HIPÒTESI PARTICIPACIÓ</t>
  </si>
  <si>
    <t>IMPORT TRAM</t>
  </si>
  <si>
    <t xml:space="preserve">RECAPTACIÓ </t>
  </si>
  <si>
    <t>TOTAL RECAPTACIÓ DOMÈSTICA</t>
  </si>
  <si>
    <t>TRAM PARTICIPACIÓ ÒPTIMA</t>
  </si>
  <si>
    <t>&lt;6</t>
  </si>
  <si>
    <t>6 - 20</t>
  </si>
  <si>
    <t>21 - 46</t>
  </si>
  <si>
    <t>3 - 9</t>
  </si>
  <si>
    <t>10 - 52</t>
  </si>
  <si>
    <t>TOTAL BALANÇ (ABANS TAXA)</t>
  </si>
  <si>
    <t>&gt;=1</t>
  </si>
  <si>
    <t>HABITATGES PAP AF</t>
  </si>
  <si>
    <t>HABITATGES PAP BF</t>
  </si>
  <si>
    <t>HABITATGES AT</t>
  </si>
  <si>
    <t>HABITATGES DONATS D'ALTA</t>
  </si>
  <si>
    <t>--</t>
  </si>
  <si>
    <t>Cervià de Ter</t>
  </si>
  <si>
    <t>Sarrià de Ter</t>
  </si>
  <si>
    <t>COST TRACTAMENT FORM 2023 (no es coneixen tarifes 2024)</t>
  </si>
  <si>
    <t>actualitzat 2023 extrapolat desembre</t>
  </si>
  <si>
    <t>dades pap</t>
  </si>
  <si>
    <t>pendent</t>
  </si>
  <si>
    <t>ESTIMACIÓ COST TRACTAMENT RESTA (inclou resta de les extres)</t>
  </si>
  <si>
    <t>INGRÉS VIDRE</t>
  </si>
  <si>
    <t>INGRÉS PC ECOEMBES</t>
  </si>
  <si>
    <t>INGRÉS ENVASOS ECOEMBES</t>
  </si>
  <si>
    <t>RETORN CÀNON FORM RECOLLIDA</t>
  </si>
  <si>
    <t>he suposat que aquestes quantitats tenen iva i li trec, sobre les despeses del CC no he tret res</t>
  </si>
  <si>
    <t>&lt;5</t>
  </si>
  <si>
    <t>estimació tract voluminosos (amb tones 22 i preus 24)</t>
  </si>
  <si>
    <t>Retorn del cànon de la poda? Qui el cobra?  no tinc dades</t>
  </si>
  <si>
    <t>ESTIMACIÓ COST TRACTAMENT FV (tones 22 i manteniment preus 23)</t>
  </si>
  <si>
    <t>TRACTAMENT DE VOLUMINOSOS (tones 22 i preus 24)</t>
  </si>
  <si>
    <t>COSTOS SERVEIS EXTRES + BOSSES COMPOSTABLES (estimació feta en base al 23)</t>
  </si>
  <si>
    <t>GENERACIÓ PER CÀPITA 2023 (KG/HAB/DIA)</t>
  </si>
  <si>
    <t>PART FIXA MUNICIPAL</t>
  </si>
  <si>
    <t>PART FIXA COMARCAL</t>
  </si>
  <si>
    <t>COMARCAL</t>
  </si>
  <si>
    <t>MUNICIPAL</t>
  </si>
  <si>
    <t>INGRESSOS (SENSE IVA) - DESPESES PART COMARCAL</t>
  </si>
  <si>
    <t>DESPESES PART MUNICIPAL</t>
  </si>
  <si>
    <t>La part variable és comuna per a tots els municipis i depen exclusivament de:</t>
  </si>
  <si>
    <t>El comportament dels habitatges amb la recollida PAP</t>
  </si>
  <si>
    <t>Ús deixalleria</t>
  </si>
  <si>
    <t>ESTIMACIÓ DESPESES 2024</t>
  </si>
  <si>
    <t>Nº HABITATGES</t>
  </si>
  <si>
    <t>BALANÇ DOMÈSTIC A TAXA</t>
  </si>
  <si>
    <t>RECAPTACIÓ PART VARIABLE</t>
  </si>
  <si>
    <t>FORM PARTICIPACIÓ</t>
  </si>
  <si>
    <t>ENVASOS PARTICIPACIÓ</t>
  </si>
  <si>
    <t>RESTA PARTICIPACIÓ</t>
  </si>
  <si>
    <t>DEIXALLERIA PARTICIPACIÓ</t>
  </si>
  <si>
    <t>RECAPTACIÓ PART FIXA</t>
  </si>
  <si>
    <t>Nº habitatges</t>
  </si>
  <si>
    <t>QUOTA PART FIXA (comarcal + municipal)</t>
  </si>
  <si>
    <t>QUOTA REDUÏDA PART FIXA (comarcal + municipal)</t>
  </si>
  <si>
    <t>Recaptació estàndard</t>
  </si>
  <si>
    <t>Recaptació quota reduïda</t>
  </si>
  <si>
    <t>TOTAL RECAPTAT PART FIXA</t>
  </si>
  <si>
    <t>TOTAL ESTÀNDARD</t>
  </si>
  <si>
    <t>MITJANA PART VARIABLE/HABITATGE ESTÀNDARD</t>
  </si>
  <si>
    <t>FORM PARTICIPACIÓ (DESCOMPTE 30%)</t>
  </si>
  <si>
    <t>ENVASOS PARTICIPACIÓ  (DESCOMPTE 30%)</t>
  </si>
  <si>
    <t>RESTA PARTICIPACIÓ (DESCOMPTE 30%)</t>
  </si>
  <si>
    <t>DEIXALLERIA (DESCOMPTE 30%)</t>
  </si>
  <si>
    <t>TOTAL QUOTA REDUÏDA</t>
  </si>
  <si>
    <t>Recaptació variable quota reduïda</t>
  </si>
  <si>
    <t>Recaptació variable domèstica estàndard</t>
  </si>
  <si>
    <t>TOTAL RECAPTAT PART VARIABLE</t>
  </si>
  <si>
    <t>TOTAL DESPESES</t>
  </si>
  <si>
    <t>TOTAL DESPESES PART MUNICIPAL</t>
  </si>
  <si>
    <t>TOTAL DESPESES PART COMARCAL</t>
  </si>
  <si>
    <t>TARIFA PART FIXA COMARCAL</t>
  </si>
  <si>
    <t>TARIFA PART FIXA MUNICIPAL</t>
  </si>
  <si>
    <t>TOTAL RECAPTAT HABITATGES</t>
  </si>
  <si>
    <t>Habitatges pagats (95%) totalment</t>
  </si>
  <si>
    <t>Habitatges pagats amb quota reduïda (5%)</t>
  </si>
  <si>
    <t>DESPESES</t>
  </si>
  <si>
    <t>INGRESSOS</t>
  </si>
  <si>
    <t>TOTAL COST SERVEI</t>
  </si>
  <si>
    <t>TOTAL INGRESSOS</t>
  </si>
  <si>
    <t>RECAPTACIÓ HABITATGES FIXA</t>
  </si>
  <si>
    <t>RECAPTACIÓ HABITATGES VARIABLE</t>
  </si>
  <si>
    <t>TOTAL BALANÇ</t>
  </si>
  <si>
    <t>INGRÉS x ÚS AT</t>
  </si>
  <si>
    <t>TOTAL INGRÉS</t>
  </si>
  <si>
    <t>Aiguaviva (BF)</t>
  </si>
  <si>
    <t>Bescanó (AF)</t>
  </si>
  <si>
    <t>Bescanó (BF)</t>
  </si>
  <si>
    <t>Sant Julià de Ramis - Medinyà (AF)</t>
  </si>
  <si>
    <t>Sant Julià de Ramis - Medinyà (BF)</t>
  </si>
  <si>
    <t>PART ESPECÍFICA</t>
  </si>
  <si>
    <t>Municipi</t>
  </si>
  <si>
    <t>€/habitatge</t>
  </si>
  <si>
    <t>Sant Julià de Ramis-Medinyà</t>
  </si>
  <si>
    <t>PART GLOBAL</t>
  </si>
  <si>
    <t>Recaptació màxima</t>
  </si>
  <si>
    <t>Recaptació alta</t>
  </si>
  <si>
    <t>Recaptació mitjana</t>
  </si>
  <si>
    <t>Recaptació baixa</t>
  </si>
  <si>
    <t>&gt;46</t>
  </si>
  <si>
    <t>Reducció quota</t>
  </si>
  <si>
    <t>TOTAL RECAPTAT PART FIXA AMB REDUCCIÓ</t>
  </si>
  <si>
    <t>Recaptació variable domèstica</t>
  </si>
  <si>
    <t>Envasos lleugers</t>
  </si>
  <si>
    <t>Resta</t>
  </si>
  <si>
    <t>AMPLIACIONS SERVEI PAP (Nº habitatges)</t>
  </si>
  <si>
    <t>Nº habitatges AT</t>
  </si>
  <si>
    <t>Nº habitatges PAP</t>
  </si>
  <si>
    <t>COSTOS SERVEIS EXTRES + BOSSES COMPOSTABLES   (estimació feta en base al 23)</t>
  </si>
  <si>
    <t>Habitatges AT</t>
  </si>
  <si>
    <t>Recaptació part fixa domèstica</t>
  </si>
  <si>
    <t>Part fixa (global + específica)</t>
  </si>
  <si>
    <t>Total recaptat amb reducció</t>
  </si>
  <si>
    <r>
      <t xml:space="preserve"> </t>
    </r>
    <r>
      <rPr>
        <b/>
        <sz val="11"/>
        <color rgb="FFFFFFFF"/>
        <rFont val="Arial"/>
        <family val="2"/>
      </rPr>
      <t xml:space="preserve">TOTAL </t>
    </r>
  </si>
  <si>
    <t>Recaptació part variable domèstica</t>
  </si>
  <si>
    <t>Tram participació orgànica</t>
  </si>
  <si>
    <t>Estimació participació</t>
  </si>
  <si>
    <t>Import tram</t>
  </si>
  <si>
    <t>Recaptació</t>
  </si>
  <si>
    <t>Molt baixa</t>
  </si>
  <si>
    <t>Baixa</t>
  </si>
  <si>
    <t>Mitjana</t>
  </si>
  <si>
    <t>Òptima</t>
  </si>
  <si>
    <t>Total recaptació orgànica</t>
  </si>
  <si>
    <t>Tram participació envasos lleugers</t>
  </si>
  <si>
    <t>Total recaptació envasos lleugers</t>
  </si>
  <si>
    <t>Tram participació fracció resta</t>
  </si>
  <si>
    <t>Total recaptació fracció resta</t>
  </si>
  <si>
    <t>Participació deixalleria</t>
  </si>
  <si>
    <t>Total recaptació deixalleria</t>
  </si>
  <si>
    <t>Total recaptació part variable domèstica</t>
  </si>
  <si>
    <t>Total recaptació part fixa domèstica</t>
  </si>
  <si>
    <t>Tram participació molt baixa</t>
  </si>
  <si>
    <t>Tram participació baixa</t>
  </si>
  <si>
    <t>Tram participació mitjana</t>
  </si>
  <si>
    <t>Tram participació òptima</t>
  </si>
  <si>
    <t>Fracció orgànica</t>
  </si>
  <si>
    <t>&lt; 6</t>
  </si>
  <si>
    <t>21 – 46</t>
  </si>
  <si>
    <t>Deixalleria</t>
  </si>
  <si>
    <t>&gt;= 1</t>
  </si>
  <si>
    <t xml:space="preserve">PART VARIABLE </t>
  </si>
  <si>
    <t>TRAMS PART VARIABLE DOMÈSTICA</t>
  </si>
  <si>
    <t>6 - 12</t>
  </si>
  <si>
    <t xml:space="preserve">3 - 5 </t>
  </si>
  <si>
    <t>COSTOS GLOBALS</t>
  </si>
  <si>
    <t>TOTAL COSTOS PART COMARCAL</t>
  </si>
  <si>
    <t>Cost recollida porta a porta (inclou domèstica i comercial)</t>
  </si>
  <si>
    <t>Ampliacions servei porta a porta</t>
  </si>
  <si>
    <t xml:space="preserve">Cost tractament fracció resta </t>
  </si>
  <si>
    <t>Cost tractament fracció orgànica</t>
  </si>
  <si>
    <t xml:space="preserve">Recollida voluminosos </t>
  </si>
  <si>
    <t xml:space="preserve">Recollida fracció vegetal </t>
  </si>
  <si>
    <t xml:space="preserve">Tractament fracció vegetal </t>
  </si>
  <si>
    <t xml:space="preserve">Tractament de voluminosos </t>
  </si>
  <si>
    <t>Servei de deixalleria</t>
  </si>
  <si>
    <t xml:space="preserve">Recollida oli vegetal usat </t>
  </si>
  <si>
    <t>Total costos part específica</t>
  </si>
  <si>
    <t>Serveis extres (inclou bosses compostables)</t>
  </si>
  <si>
    <t>Retorn de l’impost cedit (fracció orgànica)</t>
  </si>
  <si>
    <t xml:space="preserve">Venda de paper/cartró </t>
  </si>
  <si>
    <t>Retorn recollida paper/cartró (Ecoembes)</t>
  </si>
  <si>
    <t>Retorn recollida envasos lleugers (Ecomebes)</t>
  </si>
  <si>
    <t>Retorn recollida vidre (Ecovidrio)</t>
  </si>
  <si>
    <t>Part global</t>
  </si>
  <si>
    <t>Part específica</t>
  </si>
  <si>
    <t>Total costos nets part global</t>
  </si>
  <si>
    <t>Costos part específica</t>
  </si>
  <si>
    <t>TOTAL COST NET</t>
  </si>
  <si>
    <t>Nº habitatges quota reduïda (2%)</t>
  </si>
  <si>
    <t>Despeses gestió i recaptació taxa comarcal</t>
  </si>
  <si>
    <t>DESPESES GESTIÓ I RECAPTACIÓ TAXA COMARCAL</t>
  </si>
  <si>
    <t>RETORN DEL CÀNON</t>
  </si>
  <si>
    <t>RETORN ENVASOS - ECOMEBES</t>
  </si>
  <si>
    <t>RETORN PiC - ECOEMBES</t>
  </si>
  <si>
    <t>RETORN VIDRE - ECOVIDRIO</t>
  </si>
  <si>
    <t>VENDA PiC</t>
  </si>
  <si>
    <t>COST TRACTAMENT FV</t>
  </si>
  <si>
    <t>COST TRACTAMENT VOLUMINOSOS</t>
  </si>
  <si>
    <t>Serveis extres a preus unitaris</t>
  </si>
  <si>
    <t>SERVEI</t>
  </si>
  <si>
    <t>IMPORT MENSUAL</t>
  </si>
  <si>
    <t>UNITATS</t>
  </si>
  <si>
    <t>IMPORT UNITARI 2025</t>
  </si>
  <si>
    <t>AMPLIACIÓ PAP</t>
  </si>
  <si>
    <t>TIPUS</t>
  </si>
  <si>
    <t>MUNICIPI</t>
  </si>
  <si>
    <t>Ampliació habitatges PAP</t>
  </si>
  <si>
    <t>Ampliació habitatges PAP (AF)</t>
  </si>
  <si>
    <t>Ampliació habitatges PAP (BF)</t>
  </si>
  <si>
    <t>AT recollida servei ordinari</t>
  </si>
  <si>
    <t>AT neteja servei ordinari</t>
  </si>
  <si>
    <t>AT (magatzem brigada) recollida servei ordinari</t>
  </si>
  <si>
    <t>AT (magatzem brigada) neteja servei ordinari</t>
  </si>
  <si>
    <t>Recollida PAP Cases de la Bruguera</t>
  </si>
  <si>
    <t>AT recollida PiC contenidor 1100L ruta ordinari</t>
  </si>
  <si>
    <t>Brigada recollida contenidor RSU 1100L ruta ordinari</t>
  </si>
  <si>
    <t>Brigada recollida 2 contenidors RSU 1100L ruta ordinari</t>
  </si>
  <si>
    <t>Brigada recollida 1 contenidor RSU 1100L ruta ordinari</t>
  </si>
  <si>
    <t>AT neteja PiC contenidor 1100L</t>
  </si>
  <si>
    <t>AT neteja E/P/R contenidors 1100L</t>
  </si>
  <si>
    <t>AT recollida E/P/R contenidors 1100L ruta ordinari</t>
  </si>
  <si>
    <t>CAP Recollida RSU bujol 240L extra ruta ordinari</t>
  </si>
  <si>
    <t>AT Sant Medir recollida RSU/V servei ordinari</t>
  </si>
  <si>
    <t>AT Sant Medir E/Org/PiC recollida ordinària (preu tancat)</t>
  </si>
  <si>
    <t>SERVEI MUNICIPAL</t>
  </si>
  <si>
    <t>Recollida deixalleria Org. ruta ordinari</t>
  </si>
  <si>
    <t>Servei de recollida de bosses recollida PAP sector cases del xai</t>
  </si>
  <si>
    <t>Servei de recollida de bosses recollida PAP disseminats AF</t>
  </si>
  <si>
    <t>Servei de recollida de bosses abandonades (2h/setmana)</t>
  </si>
  <si>
    <t>Servei reforç comercial de resta: Llar d'infants, La Pineda i CAP</t>
  </si>
  <si>
    <t>Servei recollida ordinària Jardí de Calders</t>
  </si>
  <si>
    <t>Recollida deixalleria P/V/E/Org./R Salt</t>
  </si>
  <si>
    <t>Recollida Org. Comerç reforç dissabtes</t>
  </si>
  <si>
    <t>Brigada recollida 2 contenidors RSU 1100L fora ruta</t>
  </si>
  <si>
    <t>Brigada recollida contenidor RSU 1100L fora ruta</t>
  </si>
  <si>
    <t>Fira de Primavera recollida</t>
  </si>
  <si>
    <t>Rally Costa Brava recollida</t>
  </si>
  <si>
    <t>COMPRA BUJOLS EQUIPAMENTS</t>
  </si>
  <si>
    <t>IMPORT ANUAL</t>
  </si>
  <si>
    <t>Servei recollida abocaments incontrolats</t>
  </si>
  <si>
    <t>COMPRA BOSSES COMPOSTABLES</t>
  </si>
  <si>
    <t>Es considera que es liquidarà directament als municipis? (Com es fa a les empreses)</t>
  </si>
  <si>
    <t>Es considera que es liquidarà directament als municipis?</t>
  </si>
  <si>
    <t>Servei recollida abocaments incontrolats (poda)</t>
  </si>
  <si>
    <t>DEIXALLERIA MÒBIL (inclou despeses CCG)</t>
  </si>
  <si>
    <t>Habitatges pagats (100%) totalment</t>
  </si>
  <si>
    <t>Habitatges pagats amb quota reduïda (0%)</t>
  </si>
  <si>
    <t>BALANÇ DOMÈSTIC A PART FIXA (85%)</t>
  </si>
  <si>
    <t>Ingressos part global</t>
  </si>
  <si>
    <t>Costos part global</t>
  </si>
  <si>
    <t>CALCULADA PART FIXA ESPECÍFICA</t>
  </si>
  <si>
    <t>PAP</t>
  </si>
  <si>
    <t>AT</t>
  </si>
  <si>
    <t>QUOTA PART FIXA PAP</t>
  </si>
  <si>
    <t>QUOTA PART FIXA AT</t>
  </si>
  <si>
    <t>Habitatges amb descompte quota reduïda PAP (2%)</t>
  </si>
  <si>
    <t>Habitatges amb descompte quota reduïda AT (2%)</t>
  </si>
  <si>
    <t>Recaptació amb reducció quota</t>
  </si>
  <si>
    <t>HABITATGES PAP (AF i BF)</t>
  </si>
  <si>
    <r>
      <t xml:space="preserve">Nº aportacions anuals </t>
    </r>
    <r>
      <rPr>
        <b/>
        <u/>
        <sz val="11"/>
        <rFont val="Arial"/>
        <family val="2"/>
      </rPr>
      <t>alta freqüència</t>
    </r>
  </si>
  <si>
    <r>
      <t xml:space="preserve">Nº aportacions anuals </t>
    </r>
    <r>
      <rPr>
        <b/>
        <u/>
        <sz val="11"/>
        <rFont val="Arial"/>
        <family val="2"/>
      </rPr>
      <t>baixa freqüència</t>
    </r>
  </si>
  <si>
    <t>TOTAL RECAPTACIÓ PAP + AT</t>
  </si>
  <si>
    <t>Total recaptat PAP (amb reducció)</t>
  </si>
  <si>
    <t>Total recaptat AT (amb reducció)</t>
  </si>
  <si>
    <t>Despeses gestió Consell Comarcal</t>
  </si>
  <si>
    <t>INGRÉS ACT. DESCONNECTADES I LOCALS BUITS</t>
  </si>
  <si>
    <t>RECAPTACIÓ PART VARIABLE (ANUAL)</t>
  </si>
  <si>
    <t>RECAPTACIÓ COMERÇOS FIXA</t>
  </si>
  <si>
    <t>RECAPTACIÓ COMERÇOS VARIABLE</t>
  </si>
  <si>
    <t>DEIXALLERIA MÒBIL</t>
  </si>
  <si>
    <t>TOTAL REDUCCIONS</t>
  </si>
  <si>
    <t>Servei de deixalleria mòbil</t>
  </si>
  <si>
    <t>Nº banyeres</t>
  </si>
  <si>
    <t>NO ES PRESTA</t>
  </si>
  <si>
    <t>INFORMEN QUE NO HO PAGARÀ L'AJUNTAMENT</t>
  </si>
  <si>
    <t>PENDENT QUE ENS ENVIIN CONTACTE</t>
  </si>
  <si>
    <t>&gt; 70</t>
  </si>
  <si>
    <t>10 - 70</t>
  </si>
  <si>
    <t>10 - 46</t>
  </si>
  <si>
    <t>Prorrateig part variable per municipi</t>
  </si>
  <si>
    <t>AT recollida contenidor ENVASOS1100L ruta ordinari</t>
  </si>
  <si>
    <t>COST TRACTAMENT FORM 2026</t>
  </si>
  <si>
    <t>PREVISIÓ COST TRACTAMENT RESTA 2026</t>
  </si>
  <si>
    <t>ESTIMACIÓ DESPESES 2026</t>
  </si>
  <si>
    <t>SANT ANDREU SALOU</t>
  </si>
  <si>
    <t>PREVISIÓ COST TRACTAMENT REBUIG 2026</t>
  </si>
  <si>
    <t>DEL MUNICIPI</t>
  </si>
  <si>
    <t>AMPLIACIONS SERVEI PAP 2 (Nº habitatges)</t>
  </si>
  <si>
    <t>COST RECOLLIDA FV (big bag)</t>
  </si>
  <si>
    <t>COST RECOLLIDA FV (banyeres)</t>
  </si>
  <si>
    <t>IMPORT UNITARI 2026</t>
  </si>
  <si>
    <t>NO S'IMPUTA A TAXA I ES LIQUIDA COM A NETEJA VIÀRIA</t>
  </si>
  <si>
    <t>ANY 2025 EREN 300.</t>
  </si>
  <si>
    <t>ESTIMACIÓ PART FIXA DEL MUNICIPI</t>
  </si>
  <si>
    <t>Contenidors vidre extres AT Quart</t>
  </si>
  <si>
    <t>ANY 2025 EREN 6000</t>
  </si>
  <si>
    <t>ESTIMACIÓ SEGONS DESPESA A JUNY 2025</t>
  </si>
  <si>
    <t>BALANÇ  FINAL  2026</t>
  </si>
  <si>
    <t>Sant Andreu Salou</t>
  </si>
  <si>
    <t>SETEMBRE 2025</t>
  </si>
  <si>
    <t>PART FIXA TOTAL PAP 2025</t>
  </si>
  <si>
    <t>PART FIXA TOTAL AT 2025</t>
  </si>
  <si>
    <t>DIFERÈNCIA</t>
  </si>
  <si>
    <t>INGRÉS EQUIPAMENTS</t>
  </si>
  <si>
    <t>PART FIXA TOTAL PAP 2026</t>
  </si>
  <si>
    <t>PART FIXA TOTAL AT 2026</t>
  </si>
  <si>
    <t>Recollides extres comercials (juny, juliol i agost)</t>
  </si>
  <si>
    <t>Compra bosses i fundes compostables</t>
  </si>
  <si>
    <t>MILLORES TECONOLOGIA</t>
  </si>
  <si>
    <t>ESTIMACIÓ COSTOS GLOBALS 2026</t>
  </si>
  <si>
    <t>Millores tecnològiques</t>
  </si>
  <si>
    <t>ESTIMACIÓ COSTOS ESPECÍFICS 2026</t>
  </si>
  <si>
    <t>ESTIMACIÓ INGRESSOS 2026</t>
  </si>
  <si>
    <t>COST NET DEL SERVEI 2026</t>
  </si>
  <si>
    <t>COST SERVEI GLOBAL</t>
  </si>
  <si>
    <t>COST SERVEI ESPECÍFIC</t>
  </si>
  <si>
    <t>INGRÉS x VOLUM (gp)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</si>
</sst>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0.0"/>
    <numFmt numFmtId="166" formatCode="#,##0.0"/>
    <numFmt numFmtId="167" formatCode="_-* #,##0.00\ [$€-C0A]_-;\-* #,##0.00\ [$€-C0A]_-;_-* &quot;-&quot;??\ [$€-C0A]_-;_-@_-"/>
    <numFmt numFmtId="168" formatCode="#,##0\ &quot;€&quot;"/>
    <numFmt numFmtId="169" formatCode="0.0%"/>
    <numFmt numFmtId="170" formatCode="_-* #,##0\ [$€-C0A]_-;\-* #,##0\ [$€-C0A]_-;_-* &quot;-&quot;??\ [$€-C0A]_-;_-@_-"/>
    <numFmt numFmtId="171" formatCode="0.0000"/>
    <numFmt numFmtId="172" formatCode="#,##0.00\ [$€-C0A];\-#,##0.00\ [$€-C0A]"/>
    <numFmt numFmtId="174" formatCode="_-* #,##0.00\ [$€-403]_-;\-* #,##0.00\ [$€-403]_-;_-* &quot;-&quot;??\ [$€-403]_-;_-@_-"/>
  </numFmts>
  <fonts count="105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DIN Next LT Pro"/>
      <family val="2"/>
    </font>
    <font>
      <sz val="10"/>
      <name val="DIN Next LT Pro Bold"/>
      <family val="2"/>
    </font>
    <font>
      <sz val="10"/>
      <name val="Arial"/>
      <family val="2"/>
    </font>
    <font>
      <sz val="10"/>
      <color theme="1" tint="0.249977111117893"/>
      <name val="DIN Next LT Pro Bold"/>
      <family val="2"/>
    </font>
    <font>
      <sz val="8"/>
      <color theme="1" tint="0.249977111117893"/>
      <name val="DIN Next LT Pro Bold"/>
      <family val="2"/>
    </font>
    <font>
      <sz val="8"/>
      <color theme="1" tint="0.249977111117893"/>
      <name val="DIN Next LT Pro"/>
      <family val="2"/>
    </font>
    <font>
      <sz val="10"/>
      <color rgb="FF404040"/>
      <name val="DIN Next LT Pro Bold"/>
      <family val="2"/>
    </font>
    <font>
      <sz val="9"/>
      <color rgb="FF000000"/>
      <name val="DIN Next LT Pro"/>
      <family val="2"/>
    </font>
    <font>
      <sz val="11"/>
      <color rgb="FF000000"/>
      <name val="Calibri"/>
      <family val="2"/>
    </font>
    <font>
      <sz val="8"/>
      <color rgb="FF404040"/>
      <name val="DIN Next LT Pro Bold"/>
      <family val="2"/>
    </font>
    <font>
      <sz val="11"/>
      <color indexed="8"/>
      <name val="Calibri"/>
      <family val="2"/>
      <scheme val="minor"/>
    </font>
    <font>
      <sz val="8"/>
      <color indexed="8"/>
      <name val="Tahoma"/>
      <family val="2"/>
    </font>
    <font>
      <sz val="10"/>
      <color theme="1" tint="0.249977111117893"/>
      <name val="DIN Next LT Pro"/>
      <family val="2"/>
    </font>
    <font>
      <sz val="9"/>
      <color theme="1" tint="0.249977111117893"/>
      <name val="DIN Next LT Pro"/>
      <family val="2"/>
    </font>
    <font>
      <sz val="9"/>
      <color theme="1" tint="0.249977111117893"/>
      <name val="DIN Next LT Pro Bold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9"/>
      <color rgb="FF000000"/>
      <name val="Calibri"/>
      <family val="2"/>
    </font>
    <font>
      <sz val="10"/>
      <color rgb="FFFF0000"/>
      <name val="DIN Next LT Pro"/>
      <family val="2"/>
    </font>
    <font>
      <sz val="8"/>
      <color rgb="FFFF0000"/>
      <name val="DIN Next LT Pro"/>
      <family val="2"/>
    </font>
    <font>
      <sz val="9"/>
      <color rgb="FFFF0000"/>
      <name val="DIN Next LT Pro"/>
      <family val="2"/>
    </font>
    <font>
      <sz val="10"/>
      <color rgb="FFFF0000"/>
      <name val="Arial"/>
      <family val="2"/>
    </font>
    <font>
      <b/>
      <sz val="10"/>
      <name val="DIN Next LT Pro"/>
      <family val="2"/>
    </font>
    <font>
      <b/>
      <sz val="10"/>
      <name val="Arial"/>
      <family val="2"/>
    </font>
    <font>
      <sz val="9"/>
      <color theme="1"/>
      <name val="DIN Next LT Pro"/>
      <family val="2"/>
    </font>
    <font>
      <sz val="12"/>
      <color theme="1"/>
      <name val="DIN Next LT Pro Bold"/>
      <family val="2"/>
    </font>
    <font>
      <sz val="8"/>
      <color theme="1"/>
      <name val="DIN Next LT Pro Bold"/>
      <family val="2"/>
    </font>
    <font>
      <sz val="9"/>
      <color theme="1"/>
      <name val="DIN Next LT Pro Bold"/>
      <family val="2"/>
    </font>
    <font>
      <sz val="8"/>
      <color theme="1"/>
      <name val="DIN Next LT Pro"/>
      <family val="2"/>
    </font>
    <font>
      <sz val="10"/>
      <name val="Times New Roman"/>
      <family val="1"/>
    </font>
    <font>
      <sz val="9"/>
      <color rgb="FF000000"/>
      <name val="Arial"/>
      <family val="2"/>
    </font>
    <font>
      <b/>
      <sz val="11"/>
      <color rgb="FFFFFFFF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9"/>
      <name val="Arial"/>
      <family val="2"/>
    </font>
    <font>
      <b/>
      <sz val="10"/>
      <name val="DIN Next LT Pro Bold"/>
    </font>
    <font>
      <b/>
      <sz val="9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9"/>
      <name val="DIN Next LT Pro"/>
    </font>
    <font>
      <b/>
      <sz val="9"/>
      <name val="DIN Next LT Pro"/>
      <family val="2"/>
    </font>
    <font>
      <b/>
      <sz val="28"/>
      <name val="Arial"/>
      <family val="2"/>
    </font>
    <font>
      <sz val="10"/>
      <name val="DIN Next LT Pro"/>
    </font>
    <font>
      <b/>
      <u/>
      <sz val="9"/>
      <name val="Arial"/>
      <family val="2"/>
    </font>
    <font>
      <sz val="9"/>
      <name val="DIN Next LT Pro"/>
      <family val="2"/>
    </font>
    <font>
      <b/>
      <sz val="10"/>
      <name val="DIN Next LT Pro"/>
    </font>
    <font>
      <sz val="9"/>
      <name val="DIN Next LT Pro"/>
    </font>
    <font>
      <b/>
      <sz val="18"/>
      <color rgb="FF404040"/>
      <name val="DIN Next LT Pro Bold"/>
    </font>
    <font>
      <b/>
      <sz val="7"/>
      <color theme="1"/>
      <name val="DIN Next LT Pro"/>
      <family val="2"/>
    </font>
    <font>
      <b/>
      <u/>
      <sz val="10"/>
      <name val="Arial"/>
      <family val="2"/>
    </font>
    <font>
      <b/>
      <sz val="9"/>
      <color theme="1"/>
      <name val="DIN Next LT Pro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12"/>
      <color rgb="FFFF0000"/>
      <name val="Arial"/>
      <family val="2"/>
    </font>
    <font>
      <sz val="8"/>
      <name val="DIN Next LT Pro"/>
      <family val="2"/>
    </font>
    <font>
      <b/>
      <sz val="8"/>
      <name val="DIN Next LT Pro Bold"/>
      <family val="2"/>
    </font>
    <font>
      <b/>
      <u/>
      <sz val="11"/>
      <name val="Arial"/>
      <family val="2"/>
    </font>
    <font>
      <b/>
      <sz val="8"/>
      <color rgb="FFFF0000"/>
      <name val="DIN Next LT Pro"/>
    </font>
    <font>
      <b/>
      <sz val="28"/>
      <color rgb="FFFF0000"/>
      <name val="Arial"/>
      <family val="2"/>
    </font>
    <font>
      <b/>
      <sz val="10"/>
      <color rgb="FFFF0000"/>
      <name val="DIN Next LT Pro"/>
      <family val="2"/>
    </font>
    <font>
      <b/>
      <sz val="9"/>
      <color rgb="FFFF0000"/>
      <name val="DIN Next LT Pro"/>
      <family val="2"/>
    </font>
    <font>
      <sz val="9"/>
      <name val="DIN Next LT Pro Bold"/>
      <family val="2"/>
    </font>
    <font>
      <sz val="8"/>
      <name val="DIN Next LT Pro Bold"/>
      <family val="2"/>
    </font>
    <font>
      <b/>
      <sz val="7"/>
      <name val="DIN Next LT Pro"/>
      <family val="2"/>
    </font>
    <font>
      <sz val="9"/>
      <color theme="0"/>
      <name val="DIN Next LT Pro"/>
      <family val="2"/>
    </font>
    <font>
      <sz val="11"/>
      <name val="Calibri"/>
      <family val="2"/>
    </font>
    <font>
      <b/>
      <sz val="8"/>
      <name val="DIN Next LT Pro"/>
    </font>
    <font>
      <b/>
      <sz val="14"/>
      <name val="DIN Next LT Pro Bold"/>
    </font>
    <font>
      <b/>
      <sz val="16"/>
      <name val="DIN Next LT Pro Bold"/>
    </font>
    <font>
      <b/>
      <sz val="11"/>
      <color theme="0"/>
      <name val="Arial"/>
      <family val="2"/>
    </font>
    <font>
      <b/>
      <sz val="9"/>
      <color theme="0"/>
      <name val="Arial"/>
      <family val="2"/>
    </font>
  </fonts>
  <fills count="6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6" tint="-0.249977111117893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9" tint="-0.249977111117893"/>
        <bgColor rgb="FF000000"/>
      </patternFill>
    </fill>
  </fills>
  <borders count="8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 style="medium">
        <color indexed="64"/>
      </right>
      <top/>
      <bottom style="medium">
        <color rgb="FFA6A6A6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A6A6A6"/>
      </right>
      <top/>
      <bottom style="medium">
        <color indexed="64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indexed="64"/>
      </left>
      <right/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/>
      <diagonal/>
    </border>
    <border>
      <left/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medium">
        <color rgb="FFA6A6A6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87">
    <xf numFmtId="0" fontId="0" fillId="0" borderId="0"/>
    <xf numFmtId="9" fontId="12" fillId="0" borderId="0" applyFont="0" applyFill="0" applyBorder="0" applyAlignment="0" applyProtection="0"/>
    <xf numFmtId="0" fontId="20" fillId="0" borderId="0"/>
    <xf numFmtId="0" fontId="12" fillId="0" borderId="0"/>
    <xf numFmtId="0" fontId="9" fillId="0" borderId="0"/>
    <xf numFmtId="0" fontId="8" fillId="0" borderId="0"/>
    <xf numFmtId="0" fontId="8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45" fillId="0" borderId="0"/>
    <xf numFmtId="0" fontId="6" fillId="0" borderId="0"/>
    <xf numFmtId="0" fontId="47" fillId="0" borderId="0" applyNumberFormat="0" applyFill="0" applyBorder="0" applyAlignment="0" applyProtection="0"/>
    <xf numFmtId="0" fontId="48" fillId="0" borderId="27" applyNumberFormat="0" applyFill="0" applyAlignment="0" applyProtection="0"/>
    <xf numFmtId="0" fontId="49" fillId="0" borderId="28" applyNumberFormat="0" applyFill="0" applyAlignment="0" applyProtection="0"/>
    <xf numFmtId="0" fontId="50" fillId="0" borderId="29" applyNumberFormat="0" applyFill="0" applyAlignment="0" applyProtection="0"/>
    <xf numFmtId="0" fontId="50" fillId="0" borderId="0" applyNumberFormat="0" applyFill="0" applyBorder="0" applyAlignment="0" applyProtection="0"/>
    <xf numFmtId="0" fontId="51" fillId="16" borderId="0" applyNumberFormat="0" applyBorder="0" applyAlignment="0" applyProtection="0"/>
    <xf numFmtId="0" fontId="52" fillId="17" borderId="0" applyNumberFormat="0" applyBorder="0" applyAlignment="0" applyProtection="0"/>
    <xf numFmtId="0" fontId="53" fillId="18" borderId="0" applyNumberFormat="0" applyBorder="0" applyAlignment="0" applyProtection="0"/>
    <xf numFmtId="0" fontId="54" fillId="19" borderId="30" applyNumberFormat="0" applyAlignment="0" applyProtection="0"/>
    <xf numFmtId="0" fontId="55" fillId="20" borderId="31" applyNumberFormat="0" applyAlignment="0" applyProtection="0"/>
    <xf numFmtId="0" fontId="56" fillId="20" borderId="30" applyNumberFormat="0" applyAlignment="0" applyProtection="0"/>
    <xf numFmtId="0" fontId="57" fillId="0" borderId="32" applyNumberFormat="0" applyFill="0" applyAlignment="0" applyProtection="0"/>
    <xf numFmtId="0" fontId="58" fillId="21" borderId="33" applyNumberFormat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35" applyNumberFormat="0" applyFill="0" applyAlignment="0" applyProtection="0"/>
    <xf numFmtId="0" fontId="62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62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62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62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62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62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0" borderId="0"/>
    <xf numFmtId="0" fontId="5" fillId="22" borderId="34" applyNumberFormat="0" applyFont="0" applyAlignment="0" applyProtection="0"/>
    <xf numFmtId="9" fontId="5" fillId="0" borderId="0" applyFont="0" applyFill="0" applyBorder="0" applyAlignment="0" applyProtection="0"/>
    <xf numFmtId="0" fontId="4" fillId="0" borderId="0"/>
    <xf numFmtId="0" fontId="4" fillId="22" borderId="34" applyNumberFormat="0" applyFont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99" fillId="0" borderId="0"/>
    <xf numFmtId="44" fontId="99" fillId="0" borderId="0" applyFont="0" applyFill="0" applyBorder="0" applyAlignment="0" applyProtection="0"/>
    <xf numFmtId="0" fontId="99" fillId="0" borderId="0"/>
  </cellStyleXfs>
  <cellXfs count="553">
    <xf numFmtId="0" fontId="0" fillId="0" borderId="0" xfId="0"/>
    <xf numFmtId="0" fontId="0" fillId="2" borderId="0" xfId="0" applyFill="1"/>
    <xf numFmtId="3" fontId="10" fillId="3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3" fillId="0" borderId="0" xfId="0" applyFont="1"/>
    <xf numFmtId="0" fontId="10" fillId="2" borderId="0" xfId="0" applyFont="1" applyFill="1"/>
    <xf numFmtId="167" fontId="15" fillId="3" borderId="2" xfId="0" applyNumberFormat="1" applyFont="1" applyFill="1" applyBorder="1"/>
    <xf numFmtId="0" fontId="16" fillId="0" borderId="5" xfId="0" applyFont="1" applyBorder="1" applyAlignment="1">
      <alignment horizontal="right" vertical="center"/>
    </xf>
    <xf numFmtId="0" fontId="13" fillId="6" borderId="3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/>
    </xf>
    <xf numFmtId="0" fontId="17" fillId="7" borderId="4" xfId="0" applyFont="1" applyFill="1" applyBorder="1" applyAlignment="1">
      <alignment horizontal="center" vertical="center"/>
    </xf>
    <xf numFmtId="168" fontId="13" fillId="8" borderId="4" xfId="0" applyNumberFormat="1" applyFont="1" applyFill="1" applyBorder="1" applyAlignment="1">
      <alignment horizontal="right"/>
    </xf>
    <xf numFmtId="0" fontId="10" fillId="3" borderId="1" xfId="0" applyFont="1" applyFill="1" applyBorder="1" applyAlignment="1">
      <alignment horizontal="left"/>
    </xf>
    <xf numFmtId="0" fontId="18" fillId="0" borderId="0" xfId="0" applyFont="1"/>
    <xf numFmtId="0" fontId="19" fillId="10" borderId="4" xfId="0" applyFont="1" applyFill="1" applyBorder="1" applyAlignment="1">
      <alignment horizontal="center"/>
    </xf>
    <xf numFmtId="0" fontId="19" fillId="10" borderId="6" xfId="0" applyFont="1" applyFill="1" applyBorder="1" applyAlignment="1">
      <alignment horizontal="center"/>
    </xf>
    <xf numFmtId="0" fontId="10" fillId="7" borderId="4" xfId="0" applyFont="1" applyFill="1" applyBorder="1" applyAlignment="1">
      <alignment horizontal="left"/>
    </xf>
    <xf numFmtId="166" fontId="10" fillId="7" borderId="4" xfId="0" applyNumberFormat="1" applyFont="1" applyFill="1" applyBorder="1" applyAlignment="1">
      <alignment horizontal="center"/>
    </xf>
    <xf numFmtId="165" fontId="11" fillId="9" borderId="4" xfId="0" applyNumberFormat="1" applyFont="1" applyFill="1" applyBorder="1" applyAlignment="1">
      <alignment horizontal="center"/>
    </xf>
    <xf numFmtId="167" fontId="0" fillId="0" borderId="0" xfId="0" applyNumberFormat="1"/>
    <xf numFmtId="167" fontId="22" fillId="3" borderId="2" xfId="0" applyNumberFormat="1" applyFont="1" applyFill="1" applyBorder="1" applyAlignment="1">
      <alignment horizontal="right"/>
    </xf>
    <xf numFmtId="166" fontId="10" fillId="3" borderId="1" xfId="0" applyNumberFormat="1" applyFont="1" applyFill="1" applyBorder="1" applyAlignment="1">
      <alignment horizontal="center"/>
    </xf>
    <xf numFmtId="3" fontId="11" fillId="2" borderId="1" xfId="0" applyNumberFormat="1" applyFont="1" applyFill="1" applyBorder="1" applyAlignment="1">
      <alignment horizontal="center"/>
    </xf>
    <xf numFmtId="0" fontId="27" fillId="2" borderId="0" xfId="0" applyFont="1" applyFill="1" applyAlignment="1">
      <alignment horizontal="center" vertical="center"/>
    </xf>
    <xf numFmtId="49" fontId="26" fillId="2" borderId="0" xfId="2" applyNumberFormat="1" applyFont="1" applyFill="1"/>
    <xf numFmtId="167" fontId="28" fillId="3" borderId="2" xfId="0" applyNumberFormat="1" applyFont="1" applyFill="1" applyBorder="1" applyAlignment="1">
      <alignment horizontal="right"/>
    </xf>
    <xf numFmtId="164" fontId="0" fillId="0" borderId="0" xfId="0" applyNumberFormat="1"/>
    <xf numFmtId="170" fontId="10" fillId="7" borderId="8" xfId="0" applyNumberFormat="1" applyFont="1" applyFill="1" applyBorder="1"/>
    <xf numFmtId="0" fontId="24" fillId="6" borderId="1" xfId="0" applyFont="1" applyFill="1" applyBorder="1" applyAlignment="1">
      <alignment horizontal="center"/>
    </xf>
    <xf numFmtId="166" fontId="28" fillId="7" borderId="4" xfId="0" applyNumberFormat="1" applyFont="1" applyFill="1" applyBorder="1" applyAlignment="1">
      <alignment horizontal="center"/>
    </xf>
    <xf numFmtId="15" fontId="0" fillId="0" borderId="0" xfId="0" applyNumberFormat="1"/>
    <xf numFmtId="169" fontId="10" fillId="7" borderId="8" xfId="1" applyNumberFormat="1" applyFont="1" applyFill="1" applyBorder="1" applyAlignment="1">
      <alignment horizontal="center"/>
    </xf>
    <xf numFmtId="169" fontId="11" fillId="8" borderId="8" xfId="1" applyNumberFormat="1" applyFont="1" applyFill="1" applyBorder="1" applyAlignment="1">
      <alignment horizontal="center"/>
    </xf>
    <xf numFmtId="9" fontId="10" fillId="7" borderId="7" xfId="1" applyFont="1" applyFill="1" applyBorder="1" applyAlignment="1">
      <alignment horizontal="center"/>
    </xf>
    <xf numFmtId="0" fontId="10" fillId="8" borderId="0" xfId="0" applyFont="1" applyFill="1" applyAlignment="1">
      <alignment horizontal="left"/>
    </xf>
    <xf numFmtId="0" fontId="19" fillId="10" borderId="12" xfId="0" applyFont="1" applyFill="1" applyBorder="1" applyAlignment="1">
      <alignment horizontal="center"/>
    </xf>
    <xf numFmtId="4" fontId="10" fillId="7" borderId="4" xfId="0" applyNumberFormat="1" applyFont="1" applyFill="1" applyBorder="1" applyAlignment="1">
      <alignment horizontal="center"/>
    </xf>
    <xf numFmtId="3" fontId="10" fillId="7" borderId="4" xfId="0" applyNumberFormat="1" applyFont="1" applyFill="1" applyBorder="1" applyAlignment="1">
      <alignment horizontal="center"/>
    </xf>
    <xf numFmtId="2" fontId="11" fillId="9" borderId="4" xfId="0" applyNumberFormat="1" applyFont="1" applyFill="1" applyBorder="1" applyAlignment="1">
      <alignment horizontal="center"/>
    </xf>
    <xf numFmtId="0" fontId="19" fillId="10" borderId="4" xfId="0" applyFont="1" applyFill="1" applyBorder="1" applyAlignment="1">
      <alignment horizontal="center" wrapText="1"/>
    </xf>
    <xf numFmtId="0" fontId="31" fillId="2" borderId="0" xfId="0" applyFont="1" applyFill="1"/>
    <xf numFmtId="167" fontId="0" fillId="2" borderId="0" xfId="0" applyNumberFormat="1" applyFill="1"/>
    <xf numFmtId="171" fontId="0" fillId="2" borderId="0" xfId="0" applyNumberFormat="1" applyFill="1"/>
    <xf numFmtId="6" fontId="0" fillId="0" borderId="0" xfId="0" applyNumberFormat="1"/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horizontal="left"/>
    </xf>
    <xf numFmtId="0" fontId="34" fillId="3" borderId="0" xfId="0" applyFont="1" applyFill="1"/>
    <xf numFmtId="0" fontId="34" fillId="3" borderId="0" xfId="0" applyFont="1" applyFill="1" applyAlignment="1">
      <alignment horizontal="right"/>
    </xf>
    <xf numFmtId="49" fontId="34" fillId="3" borderId="0" xfId="0" applyNumberFormat="1" applyFont="1" applyFill="1" applyAlignment="1">
      <alignment horizontal="right"/>
    </xf>
    <xf numFmtId="0" fontId="34" fillId="0" borderId="0" xfId="0" applyFont="1" applyAlignment="1">
      <alignment horizontal="right"/>
    </xf>
    <xf numFmtId="6" fontId="34" fillId="0" borderId="0" xfId="0" applyNumberFormat="1" applyFont="1" applyAlignment="1">
      <alignment horizontal="right"/>
    </xf>
    <xf numFmtId="6" fontId="34" fillId="2" borderId="0" xfId="0" applyNumberFormat="1" applyFont="1" applyFill="1" applyAlignment="1">
      <alignment horizontal="right"/>
    </xf>
    <xf numFmtId="6" fontId="34" fillId="3" borderId="0" xfId="0" applyNumberFormat="1" applyFont="1" applyFill="1"/>
    <xf numFmtId="168" fontId="38" fillId="0" borderId="15" xfId="0" applyNumberFormat="1" applyFont="1" applyBorder="1"/>
    <xf numFmtId="44" fontId="34" fillId="0" borderId="0" xfId="0" applyNumberFormat="1" applyFont="1" applyAlignment="1">
      <alignment horizontal="right"/>
    </xf>
    <xf numFmtId="44" fontId="34" fillId="0" borderId="0" xfId="0" applyNumberFormat="1" applyFont="1"/>
    <xf numFmtId="3" fontId="0" fillId="0" borderId="0" xfId="0" applyNumberFormat="1"/>
    <xf numFmtId="172" fontId="0" fillId="0" borderId="0" xfId="0" applyNumberFormat="1"/>
    <xf numFmtId="166" fontId="0" fillId="0" borderId="0" xfId="0" applyNumberFormat="1"/>
    <xf numFmtId="0" fontId="19" fillId="10" borderId="8" xfId="0" applyFont="1" applyFill="1" applyBorder="1" applyAlignment="1">
      <alignment horizontal="center"/>
    </xf>
    <xf numFmtId="167" fontId="15" fillId="2" borderId="0" xfId="0" applyNumberFormat="1" applyFont="1" applyFill="1"/>
    <xf numFmtId="167" fontId="29" fillId="2" borderId="0" xfId="0" applyNumberFormat="1" applyFont="1" applyFill="1"/>
    <xf numFmtId="9" fontId="22" fillId="3" borderId="2" xfId="1" applyFont="1" applyFill="1" applyBorder="1" applyAlignment="1">
      <alignment horizontal="right"/>
    </xf>
    <xf numFmtId="167" fontId="15" fillId="2" borderId="17" xfId="0" applyNumberFormat="1" applyFont="1" applyFill="1" applyBorder="1"/>
    <xf numFmtId="3" fontId="21" fillId="2" borderId="0" xfId="2" applyNumberFormat="1" applyFont="1" applyFill="1" applyAlignment="1">
      <alignment horizontal="right" vertical="center" wrapText="1"/>
    </xf>
    <xf numFmtId="0" fontId="39" fillId="0" borderId="0" xfId="0" applyFont="1"/>
    <xf numFmtId="0" fontId="40" fillId="14" borderId="0" xfId="0" applyFont="1" applyFill="1" applyAlignment="1">
      <alignment horizontal="center" vertical="center"/>
    </xf>
    <xf numFmtId="0" fontId="41" fillId="15" borderId="0" xfId="0" applyFont="1" applyFill="1" applyAlignment="1">
      <alignment horizontal="center" vertical="center" wrapText="1"/>
    </xf>
    <xf numFmtId="164" fontId="44" fillId="0" borderId="0" xfId="0" applyNumberFormat="1" applyFont="1"/>
    <xf numFmtId="0" fontId="44" fillId="0" borderId="0" xfId="0" applyFont="1"/>
    <xf numFmtId="0" fontId="12" fillId="0" borderId="0" xfId="0" applyFont="1"/>
    <xf numFmtId="0" fontId="18" fillId="4" borderId="0" xfId="0" applyFont="1" applyFill="1"/>
    <xf numFmtId="0" fontId="19" fillId="10" borderId="25" xfId="0" applyFont="1" applyFill="1" applyBorder="1" applyAlignment="1">
      <alignment horizontal="center"/>
    </xf>
    <xf numFmtId="0" fontId="10" fillId="8" borderId="4" xfId="0" applyFont="1" applyFill="1" applyBorder="1" applyAlignment="1">
      <alignment horizontal="left"/>
    </xf>
    <xf numFmtId="0" fontId="10" fillId="8" borderId="4" xfId="0" applyFont="1" applyFill="1" applyBorder="1" applyAlignment="1">
      <alignment horizontal="right"/>
    </xf>
    <xf numFmtId="0" fontId="10" fillId="7" borderId="26" xfId="0" applyFont="1" applyFill="1" applyBorder="1" applyAlignment="1">
      <alignment horizontal="left"/>
    </xf>
    <xf numFmtId="167" fontId="15" fillId="2" borderId="2" xfId="0" applyNumberFormat="1" applyFont="1" applyFill="1" applyBorder="1"/>
    <xf numFmtId="165" fontId="10" fillId="7" borderId="4" xfId="0" applyNumberFormat="1" applyFont="1" applyFill="1" applyBorder="1" applyAlignment="1">
      <alignment horizontal="center"/>
    </xf>
    <xf numFmtId="165" fontId="28" fillId="7" borderId="4" xfId="0" applyNumberFormat="1" applyFont="1" applyFill="1" applyBorder="1" applyAlignment="1">
      <alignment horizontal="center"/>
    </xf>
    <xf numFmtId="166" fontId="11" fillId="9" borderId="4" xfId="0" applyNumberFormat="1" applyFont="1" applyFill="1" applyBorder="1" applyAlignment="1">
      <alignment horizontal="center"/>
    </xf>
    <xf numFmtId="0" fontId="10" fillId="47" borderId="26" xfId="0" applyFont="1" applyFill="1" applyBorder="1" applyAlignment="1">
      <alignment horizontal="left"/>
    </xf>
    <xf numFmtId="0" fontId="66" fillId="47" borderId="26" xfId="0" applyFont="1" applyFill="1" applyBorder="1" applyAlignment="1">
      <alignment horizontal="left"/>
    </xf>
    <xf numFmtId="0" fontId="66" fillId="53" borderId="5" xfId="0" applyFont="1" applyFill="1" applyBorder="1" applyAlignment="1">
      <alignment horizontal="right" vertical="center"/>
    </xf>
    <xf numFmtId="0" fontId="68" fillId="0" borderId="0" xfId="0" applyFont="1" applyFill="1" applyBorder="1" applyAlignment="1">
      <alignment horizontal="center" vertical="center" readingOrder="2"/>
    </xf>
    <xf numFmtId="167" fontId="72" fillId="0" borderId="0" xfId="0" applyNumberFormat="1" applyFont="1" applyFill="1"/>
    <xf numFmtId="0" fontId="68" fillId="51" borderId="11" xfId="0" applyFont="1" applyFill="1" applyBorder="1" applyAlignment="1">
      <alignment horizontal="center" vertical="center" readingOrder="2"/>
    </xf>
    <xf numFmtId="0" fontId="32" fillId="0" borderId="0" xfId="0" applyFont="1" applyFill="1" applyBorder="1" applyAlignment="1"/>
    <xf numFmtId="0" fontId="32" fillId="49" borderId="36" xfId="0" applyFont="1" applyFill="1" applyBorder="1" applyAlignment="1">
      <alignment horizontal="left"/>
    </xf>
    <xf numFmtId="0" fontId="32" fillId="5" borderId="0" xfId="0" applyFont="1" applyFill="1" applyBorder="1" applyAlignment="1"/>
    <xf numFmtId="0" fontId="32" fillId="5" borderId="39" xfId="0" applyFont="1" applyFill="1" applyBorder="1" applyAlignment="1"/>
    <xf numFmtId="0" fontId="32" fillId="5" borderId="16" xfId="0" applyFont="1" applyFill="1" applyBorder="1" applyAlignment="1"/>
    <xf numFmtId="167" fontId="72" fillId="5" borderId="16" xfId="0" applyNumberFormat="1" applyFont="1" applyFill="1" applyBorder="1"/>
    <xf numFmtId="167" fontId="72" fillId="5" borderId="37" xfId="0" applyNumberFormat="1" applyFont="1" applyFill="1" applyBorder="1"/>
    <xf numFmtId="0" fontId="74" fillId="5" borderId="9" xfId="0" applyFont="1" applyFill="1" applyBorder="1" applyAlignment="1"/>
    <xf numFmtId="167" fontId="72" fillId="5" borderId="0" xfId="0" applyNumberFormat="1" applyFont="1" applyFill="1" applyBorder="1"/>
    <xf numFmtId="167" fontId="72" fillId="5" borderId="13" xfId="0" applyNumberFormat="1" applyFont="1" applyFill="1" applyBorder="1"/>
    <xf numFmtId="0" fontId="32" fillId="5" borderId="9" xfId="0" applyFont="1" applyFill="1" applyBorder="1" applyAlignment="1"/>
    <xf numFmtId="0" fontId="32" fillId="50" borderId="40" xfId="0" applyFont="1" applyFill="1" applyBorder="1" applyAlignment="1"/>
    <xf numFmtId="0" fontId="32" fillId="50" borderId="42" xfId="0" applyFont="1" applyFill="1" applyBorder="1" applyAlignment="1"/>
    <xf numFmtId="167" fontId="72" fillId="50" borderId="42" xfId="0" applyNumberFormat="1" applyFont="1" applyFill="1" applyBorder="1"/>
    <xf numFmtId="167" fontId="72" fillId="50" borderId="38" xfId="0" applyNumberFormat="1" applyFont="1" applyFill="1" applyBorder="1"/>
    <xf numFmtId="1" fontId="72" fillId="0" borderId="0" xfId="0" applyNumberFormat="1" applyFont="1" applyFill="1"/>
    <xf numFmtId="0" fontId="67" fillId="0" borderId="0" xfId="0" applyFont="1" applyFill="1" applyAlignment="1">
      <alignment horizontal="left" vertical="center" readingOrder="2"/>
    </xf>
    <xf numFmtId="167" fontId="72" fillId="53" borderId="45" xfId="0" applyNumberFormat="1" applyFont="1" applyFill="1" applyBorder="1"/>
    <xf numFmtId="167" fontId="72" fillId="53" borderId="18" xfId="0" applyNumberFormat="1" applyFont="1" applyFill="1" applyBorder="1"/>
    <xf numFmtId="0" fontId="75" fillId="12" borderId="43" xfId="0" applyFont="1" applyFill="1" applyBorder="1" applyAlignment="1">
      <alignment horizontal="left" vertical="center" readingOrder="2"/>
    </xf>
    <xf numFmtId="0" fontId="67" fillId="12" borderId="44" xfId="0" applyFont="1" applyFill="1" applyBorder="1" applyAlignment="1">
      <alignment horizontal="left" vertical="center" readingOrder="2"/>
    </xf>
    <xf numFmtId="167" fontId="72" fillId="12" borderId="44" xfId="0" applyNumberFormat="1" applyFont="1" applyFill="1" applyBorder="1"/>
    <xf numFmtId="167" fontId="72" fillId="12" borderId="45" xfId="0" applyNumberFormat="1" applyFont="1" applyFill="1" applyBorder="1"/>
    <xf numFmtId="0" fontId="65" fillId="12" borderId="46" xfId="0" applyFont="1" applyFill="1" applyBorder="1" applyAlignment="1">
      <alignment horizontal="left" vertical="center" readingOrder="2"/>
    </xf>
    <xf numFmtId="0" fontId="65" fillId="12" borderId="0" xfId="0" applyFont="1" applyFill="1" applyBorder="1" applyAlignment="1">
      <alignment horizontal="left" vertical="center" readingOrder="2"/>
    </xf>
    <xf numFmtId="167" fontId="76" fillId="12" borderId="0" xfId="0" applyNumberFormat="1" applyFont="1" applyFill="1" applyBorder="1"/>
    <xf numFmtId="0" fontId="67" fillId="12" borderId="48" xfId="0" applyFont="1" applyFill="1" applyBorder="1" applyAlignment="1">
      <alignment horizontal="left" vertical="center" readingOrder="2"/>
    </xf>
    <xf numFmtId="0" fontId="67" fillId="12" borderId="49" xfId="0" applyFont="1" applyFill="1" applyBorder="1" applyAlignment="1">
      <alignment horizontal="left" vertical="center" readingOrder="2"/>
    </xf>
    <xf numFmtId="0" fontId="77" fillId="49" borderId="50" xfId="0" applyFont="1" applyFill="1" applyBorder="1" applyAlignment="1">
      <alignment horizontal="left"/>
    </xf>
    <xf numFmtId="0" fontId="77" fillId="49" borderId="51" xfId="0" applyFont="1" applyFill="1" applyBorder="1" applyAlignment="1">
      <alignment horizontal="left"/>
    </xf>
    <xf numFmtId="167" fontId="74" fillId="49" borderId="51" xfId="0" applyNumberFormat="1" applyFont="1" applyFill="1" applyBorder="1" applyAlignment="1">
      <alignment horizontal="left"/>
    </xf>
    <xf numFmtId="167" fontId="74" fillId="49" borderId="19" xfId="0" applyNumberFormat="1" applyFont="1" applyFill="1" applyBorder="1" applyAlignment="1">
      <alignment horizontal="left"/>
    </xf>
    <xf numFmtId="0" fontId="19" fillId="10" borderId="11" xfId="0" applyFont="1" applyFill="1" applyBorder="1" applyAlignment="1">
      <alignment horizontal="center"/>
    </xf>
    <xf numFmtId="0" fontId="79" fillId="0" borderId="11" xfId="0" applyFont="1" applyFill="1" applyBorder="1" applyAlignment="1">
      <alignment horizontal="center"/>
    </xf>
    <xf numFmtId="0" fontId="19" fillId="8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73" fillId="0" borderId="0" xfId="0" applyFont="1" applyFill="1" applyAlignment="1">
      <alignment horizontal="center" vertical="center" textRotation="90" readingOrder="2"/>
    </xf>
    <xf numFmtId="0" fontId="80" fillId="0" borderId="14" xfId="0" applyFont="1" applyBorder="1" applyAlignment="1">
      <alignment horizontal="right"/>
    </xf>
    <xf numFmtId="1" fontId="0" fillId="0" borderId="0" xfId="0" applyNumberFormat="1"/>
    <xf numFmtId="164" fontId="38" fillId="0" borderId="15" xfId="0" applyNumberFormat="1" applyFont="1" applyBorder="1"/>
    <xf numFmtId="0" fontId="37" fillId="0" borderId="0" xfId="0" applyFont="1" applyFill="1" applyBorder="1" applyAlignment="1">
      <alignment horizontal="right"/>
    </xf>
    <xf numFmtId="6" fontId="37" fillId="0" borderId="0" xfId="0" applyNumberFormat="1" applyFont="1" applyFill="1" applyBorder="1"/>
    <xf numFmtId="0" fontId="81" fillId="0" borderId="0" xfId="0" applyFont="1"/>
    <xf numFmtId="0" fontId="82" fillId="3" borderId="15" xfId="0" applyFont="1" applyFill="1" applyBorder="1"/>
    <xf numFmtId="0" fontId="82" fillId="3" borderId="0" xfId="0" applyFont="1" applyFill="1" applyBorder="1"/>
    <xf numFmtId="0" fontId="0" fillId="0" borderId="0" xfId="0" applyFont="1"/>
    <xf numFmtId="1" fontId="0" fillId="0" borderId="0" xfId="0" applyNumberFormat="1" applyFont="1"/>
    <xf numFmtId="167" fontId="0" fillId="0" borderId="0" xfId="0" applyNumberFormat="1" applyFont="1"/>
    <xf numFmtId="0" fontId="0" fillId="0" borderId="44" xfId="0" applyBorder="1"/>
    <xf numFmtId="0" fontId="0" fillId="0" borderId="45" xfId="0" applyBorder="1"/>
    <xf numFmtId="44" fontId="34" fillId="3" borderId="0" xfId="0" applyNumberFormat="1" applyFont="1" applyFill="1" applyBorder="1"/>
    <xf numFmtId="8" fontId="34" fillId="3" borderId="47" xfId="0" applyNumberFormat="1" applyFont="1" applyFill="1" applyBorder="1"/>
    <xf numFmtId="167" fontId="34" fillId="0" borderId="0" xfId="0" applyNumberFormat="1" applyFont="1" applyBorder="1"/>
    <xf numFmtId="8" fontId="34" fillId="0" borderId="47" xfId="0" applyNumberFormat="1" applyFont="1" applyBorder="1"/>
    <xf numFmtId="6" fontId="34" fillId="3" borderId="0" xfId="0" applyNumberFormat="1" applyFont="1" applyFill="1" applyBorder="1"/>
    <xf numFmtId="8" fontId="82" fillId="3" borderId="55" xfId="0" applyNumberFormat="1" applyFont="1" applyFill="1" applyBorder="1"/>
    <xf numFmtId="8" fontId="82" fillId="3" borderId="47" xfId="0" applyNumberFormat="1" applyFont="1" applyFill="1" applyBorder="1"/>
    <xf numFmtId="0" fontId="80" fillId="0" borderId="57" xfId="0" applyFont="1" applyBorder="1" applyAlignment="1">
      <alignment horizontal="right"/>
    </xf>
    <xf numFmtId="164" fontId="38" fillId="0" borderId="0" xfId="0" applyNumberFormat="1" applyFont="1" applyBorder="1"/>
    <xf numFmtId="172" fontId="38" fillId="0" borderId="47" xfId="0" applyNumberFormat="1" applyFont="1" applyBorder="1"/>
    <xf numFmtId="168" fontId="38" fillId="0" borderId="0" xfId="0" applyNumberFormat="1" applyFont="1" applyBorder="1"/>
    <xf numFmtId="0" fontId="37" fillId="6" borderId="59" xfId="0" applyFont="1" applyFill="1" applyBorder="1" applyAlignment="1">
      <alignment horizontal="right"/>
    </xf>
    <xf numFmtId="8" fontId="37" fillId="6" borderId="60" xfId="0" applyNumberFormat="1" applyFont="1" applyFill="1" applyBorder="1"/>
    <xf numFmtId="1" fontId="33" fillId="0" borderId="0" xfId="0" applyNumberFormat="1" applyFont="1"/>
    <xf numFmtId="164" fontId="33" fillId="0" borderId="0" xfId="0" applyNumberFormat="1" applyFont="1"/>
    <xf numFmtId="167" fontId="78" fillId="12" borderId="49" xfId="0" applyNumberFormat="1" applyFont="1" applyFill="1" applyBorder="1"/>
    <xf numFmtId="167" fontId="74" fillId="0" borderId="0" xfId="0" applyNumberFormat="1" applyFont="1" applyFill="1" applyBorder="1" applyAlignment="1">
      <alignment horizontal="left"/>
    </xf>
    <xf numFmtId="167" fontId="0" fillId="0" borderId="0" xfId="0" applyNumberFormat="1" applyFill="1"/>
    <xf numFmtId="0" fontId="0" fillId="0" borderId="0" xfId="0" applyFill="1"/>
    <xf numFmtId="0" fontId="10" fillId="47" borderId="62" xfId="0" applyFont="1" applyFill="1" applyBorder="1" applyAlignment="1">
      <alignment horizontal="left" wrapText="1"/>
    </xf>
    <xf numFmtId="167" fontId="23" fillId="3" borderId="17" xfId="0" applyNumberFormat="1" applyFont="1" applyFill="1" applyBorder="1" applyAlignment="1">
      <alignment wrapText="1"/>
    </xf>
    <xf numFmtId="167" fontId="23" fillId="3" borderId="2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42" fillId="0" borderId="20" xfId="0" applyFont="1" applyBorder="1" applyAlignment="1">
      <alignment vertical="center" wrapText="1"/>
    </xf>
    <xf numFmtId="0" fontId="43" fillId="0" borderId="21" xfId="0" applyFont="1" applyBorder="1" applyAlignment="1">
      <alignment horizontal="center" vertical="center" wrapText="1"/>
    </xf>
    <xf numFmtId="0" fontId="43" fillId="0" borderId="22" xfId="0" applyFont="1" applyBorder="1" applyAlignment="1">
      <alignment horizontal="center" vertical="center" wrapText="1"/>
    </xf>
    <xf numFmtId="0" fontId="43" fillId="0" borderId="23" xfId="0" applyFont="1" applyBorder="1" applyAlignment="1">
      <alignment horizontal="center" vertical="center" wrapText="1"/>
    </xf>
    <xf numFmtId="0" fontId="10" fillId="47" borderId="63" xfId="0" applyFont="1" applyFill="1" applyBorder="1" applyAlignment="1">
      <alignment horizontal="left" wrapText="1"/>
    </xf>
    <xf numFmtId="0" fontId="77" fillId="48" borderId="63" xfId="0" applyFont="1" applyFill="1" applyBorder="1" applyAlignment="1">
      <alignment horizontal="left" wrapText="1"/>
    </xf>
    <xf numFmtId="167" fontId="71" fillId="52" borderId="17" xfId="0" applyNumberFormat="1" applyFont="1" applyFill="1" applyBorder="1" applyAlignment="1">
      <alignment wrapText="1"/>
    </xf>
    <xf numFmtId="0" fontId="0" fillId="52" borderId="0" xfId="0" applyFill="1" applyAlignment="1">
      <alignment wrapText="1"/>
    </xf>
    <xf numFmtId="0" fontId="42" fillId="52" borderId="20" xfId="0" applyFont="1" applyFill="1" applyBorder="1" applyAlignment="1">
      <alignment vertical="center" wrapText="1"/>
    </xf>
    <xf numFmtId="0" fontId="43" fillId="52" borderId="61" xfId="0" applyFont="1" applyFill="1" applyBorder="1" applyAlignment="1">
      <alignment horizontal="center" vertical="center" wrapText="1"/>
    </xf>
    <xf numFmtId="0" fontId="43" fillId="52" borderId="47" xfId="0" applyFont="1" applyFill="1" applyBorder="1" applyAlignment="1">
      <alignment horizontal="center" vertical="center" wrapText="1"/>
    </xf>
    <xf numFmtId="0" fontId="43" fillId="52" borderId="23" xfId="0" applyFont="1" applyFill="1" applyBorder="1" applyAlignment="1">
      <alignment horizontal="center" vertical="center" wrapText="1"/>
    </xf>
    <xf numFmtId="0" fontId="10" fillId="11" borderId="63" xfId="0" applyFont="1" applyFill="1" applyBorder="1" applyAlignment="1">
      <alignment horizontal="left" wrapText="1"/>
    </xf>
    <xf numFmtId="0" fontId="43" fillId="0" borderId="24" xfId="0" applyFont="1" applyBorder="1" applyAlignment="1">
      <alignment horizontal="center" vertical="center" wrapText="1"/>
    </xf>
    <xf numFmtId="0" fontId="0" fillId="13" borderId="0" xfId="0" applyFill="1" applyAlignment="1">
      <alignment wrapText="1"/>
    </xf>
    <xf numFmtId="0" fontId="66" fillId="53" borderId="64" xfId="0" applyFont="1" applyFill="1" applyBorder="1" applyAlignment="1">
      <alignment horizontal="left" vertical="center" wrapText="1"/>
    </xf>
    <xf numFmtId="167" fontId="71" fillId="53" borderId="0" xfId="0" applyNumberFormat="1" applyFont="1" applyFill="1" applyBorder="1" applyAlignment="1">
      <alignment wrapText="1"/>
    </xf>
    <xf numFmtId="0" fontId="68" fillId="51" borderId="11" xfId="0" applyFont="1" applyFill="1" applyBorder="1" applyAlignment="1">
      <alignment horizontal="center" vertical="center" wrapText="1" readingOrder="2"/>
    </xf>
    <xf numFmtId="0" fontId="32" fillId="49" borderId="11" xfId="0" applyFont="1" applyFill="1" applyBorder="1" applyAlignment="1">
      <alignment horizontal="left" wrapText="1"/>
    </xf>
    <xf numFmtId="167" fontId="72" fillId="51" borderId="37" xfId="0" applyNumberFormat="1" applyFont="1" applyFill="1" applyBorder="1" applyAlignment="1">
      <alignment wrapText="1"/>
    </xf>
    <xf numFmtId="167" fontId="76" fillId="3" borderId="17" xfId="0" applyNumberFormat="1" applyFont="1" applyFill="1" applyBorder="1" applyAlignment="1">
      <alignment wrapText="1"/>
    </xf>
    <xf numFmtId="167" fontId="76" fillId="3" borderId="2" xfId="0" applyNumberFormat="1" applyFont="1" applyFill="1" applyBorder="1" applyAlignment="1">
      <alignment wrapText="1"/>
    </xf>
    <xf numFmtId="0" fontId="66" fillId="53" borderId="65" xfId="0" applyFont="1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167" fontId="0" fillId="0" borderId="0" xfId="0" applyNumberFormat="1" applyFill="1" applyAlignment="1">
      <alignment wrapText="1"/>
    </xf>
    <xf numFmtId="164" fontId="12" fillId="0" borderId="0" xfId="0" applyNumberFormat="1" applyFont="1"/>
    <xf numFmtId="167" fontId="71" fillId="12" borderId="49" xfId="0" applyNumberFormat="1" applyFont="1" applyFill="1" applyBorder="1"/>
    <xf numFmtId="0" fontId="33" fillId="0" borderId="44" xfId="0" applyFont="1" applyBorder="1"/>
    <xf numFmtId="164" fontId="33" fillId="0" borderId="45" xfId="0" applyNumberFormat="1" applyFont="1" applyBorder="1"/>
    <xf numFmtId="0" fontId="33" fillId="0" borderId="0" xfId="0" applyFont="1" applyBorder="1"/>
    <xf numFmtId="164" fontId="33" fillId="0" borderId="47" xfId="0" applyNumberFormat="1" applyFont="1" applyBorder="1"/>
    <xf numFmtId="0" fontId="33" fillId="0" borderId="49" xfId="0" applyFont="1" applyBorder="1"/>
    <xf numFmtId="164" fontId="33" fillId="0" borderId="23" xfId="0" applyNumberFormat="1" applyFont="1" applyBorder="1"/>
    <xf numFmtId="0" fontId="10" fillId="11" borderId="64" xfId="0" applyFont="1" applyFill="1" applyBorder="1" applyAlignment="1">
      <alignment horizontal="left" wrapText="1"/>
    </xf>
    <xf numFmtId="10" fontId="0" fillId="0" borderId="0" xfId="0" applyNumberFormat="1" applyFill="1" applyAlignment="1">
      <alignment wrapText="1"/>
    </xf>
    <xf numFmtId="0" fontId="31" fillId="0" borderId="0" xfId="0" applyFont="1"/>
    <xf numFmtId="44" fontId="0" fillId="0" borderId="0" xfId="80" applyFont="1"/>
    <xf numFmtId="0" fontId="10" fillId="47" borderId="71" xfId="0" applyFont="1" applyFill="1" applyBorder="1" applyAlignment="1">
      <alignment horizontal="left"/>
    </xf>
    <xf numFmtId="167" fontId="71" fillId="12" borderId="23" xfId="0" applyNumberFormat="1" applyFont="1" applyFill="1" applyBorder="1"/>
    <xf numFmtId="10" fontId="33" fillId="57" borderId="0" xfId="0" applyNumberFormat="1" applyFont="1" applyFill="1"/>
    <xf numFmtId="0" fontId="10" fillId="47" borderId="63" xfId="0" applyFont="1" applyFill="1" applyBorder="1" applyAlignment="1">
      <alignment horizontal="left" vertical="center" wrapText="1"/>
    </xf>
    <xf numFmtId="167" fontId="23" fillId="3" borderId="17" xfId="0" applyNumberFormat="1" applyFont="1" applyFill="1" applyBorder="1" applyAlignment="1">
      <alignment vertical="center" wrapText="1"/>
    </xf>
    <xf numFmtId="167" fontId="23" fillId="3" borderId="2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67" fontId="76" fillId="12" borderId="47" xfId="0" applyNumberFormat="1" applyFont="1" applyFill="1" applyBorder="1" applyAlignment="1">
      <alignment horizontal="right"/>
    </xf>
    <xf numFmtId="167" fontId="78" fillId="12" borderId="23" xfId="0" applyNumberFormat="1" applyFont="1" applyFill="1" applyBorder="1" applyAlignment="1">
      <alignment horizontal="right"/>
    </xf>
    <xf numFmtId="0" fontId="0" fillId="0" borderId="0" xfId="0" applyAlignment="1">
      <alignment horizontal="center" wrapText="1"/>
    </xf>
    <xf numFmtId="1" fontId="0" fillId="12" borderId="0" xfId="0" applyNumberFormat="1" applyFont="1" applyFill="1" applyBorder="1"/>
    <xf numFmtId="1" fontId="0" fillId="12" borderId="47" xfId="0" applyNumberFormat="1" applyFont="1" applyFill="1" applyBorder="1"/>
    <xf numFmtId="0" fontId="31" fillId="0" borderId="0" xfId="0" applyFont="1" applyBorder="1"/>
    <xf numFmtId="0" fontId="41" fillId="56" borderId="18" xfId="0" applyFont="1" applyFill="1" applyBorder="1" applyAlignment="1">
      <alignment vertical="center"/>
    </xf>
    <xf numFmtId="0" fontId="41" fillId="56" borderId="19" xfId="0" applyFont="1" applyFill="1" applyBorder="1" applyAlignment="1">
      <alignment horizontal="center" vertical="center"/>
    </xf>
    <xf numFmtId="0" fontId="84" fillId="0" borderId="20" xfId="0" applyFont="1" applyBorder="1" applyAlignment="1">
      <alignment vertical="center"/>
    </xf>
    <xf numFmtId="3" fontId="85" fillId="0" borderId="23" xfId="0" applyNumberFormat="1" applyFont="1" applyBorder="1" applyAlignment="1">
      <alignment horizontal="right" vertical="center"/>
    </xf>
    <xf numFmtId="8" fontId="85" fillId="0" borderId="23" xfId="0" applyNumberFormat="1" applyFont="1" applyBorder="1" applyAlignment="1">
      <alignment horizontal="right" vertical="center"/>
    </xf>
    <xf numFmtId="0" fontId="86" fillId="15" borderId="20" xfId="0" applyFont="1" applyFill="1" applyBorder="1" applyAlignment="1">
      <alignment vertical="center"/>
    </xf>
    <xf numFmtId="8" fontId="83" fillId="15" borderId="23" xfId="0" applyNumberFormat="1" applyFont="1" applyFill="1" applyBorder="1" applyAlignment="1">
      <alignment horizontal="right" vertical="center"/>
    </xf>
    <xf numFmtId="0" fontId="41" fillId="56" borderId="20" xfId="0" applyFont="1" applyFill="1" applyBorder="1" applyAlignment="1">
      <alignment vertical="center"/>
    </xf>
    <xf numFmtId="0" fontId="41" fillId="56" borderId="23" xfId="0" applyFont="1" applyFill="1" applyBorder="1" applyAlignment="1">
      <alignment horizontal="center" vertical="center"/>
    </xf>
    <xf numFmtId="0" fontId="83" fillId="56" borderId="23" xfId="0" applyFont="1" applyFill="1" applyBorder="1" applyAlignment="1">
      <alignment horizontal="right" vertical="center"/>
    </xf>
    <xf numFmtId="1" fontId="85" fillId="0" borderId="23" xfId="0" applyNumberFormat="1" applyFont="1" applyBorder="1" applyAlignment="1">
      <alignment horizontal="right" vertical="center"/>
    </xf>
    <xf numFmtId="0" fontId="84" fillId="0" borderId="20" xfId="0" applyFont="1" applyBorder="1" applyAlignment="1">
      <alignment vertical="center" wrapText="1"/>
    </xf>
    <xf numFmtId="9" fontId="84" fillId="0" borderId="23" xfId="0" applyNumberFormat="1" applyFont="1" applyBorder="1" applyAlignment="1">
      <alignment horizontal="right" vertical="center"/>
    </xf>
    <xf numFmtId="8" fontId="84" fillId="0" borderId="23" xfId="0" applyNumberFormat="1" applyFont="1" applyBorder="1" applyAlignment="1">
      <alignment horizontal="right" vertical="center"/>
    </xf>
    <xf numFmtId="3" fontId="84" fillId="0" borderId="23" xfId="0" applyNumberFormat="1" applyFont="1" applyBorder="1" applyAlignment="1">
      <alignment horizontal="right" vertical="center"/>
    </xf>
    <xf numFmtId="8" fontId="86" fillId="61" borderId="23" xfId="0" applyNumberFormat="1" applyFont="1" applyFill="1" applyBorder="1" applyAlignment="1">
      <alignment horizontal="right" vertical="center"/>
    </xf>
    <xf numFmtId="0" fontId="86" fillId="15" borderId="18" xfId="0" applyFont="1" applyFill="1" applyBorder="1" applyAlignment="1">
      <alignment vertical="center"/>
    </xf>
    <xf numFmtId="8" fontId="85" fillId="0" borderId="19" xfId="0" applyNumberFormat="1" applyFont="1" applyBorder="1" applyAlignment="1">
      <alignment horizontal="right" vertical="center"/>
    </xf>
    <xf numFmtId="0" fontId="86" fillId="15" borderId="20" xfId="0" applyFont="1" applyFill="1" applyBorder="1" applyAlignment="1">
      <alignment horizontal="right" vertical="center"/>
    </xf>
    <xf numFmtId="8" fontId="83" fillId="0" borderId="23" xfId="0" applyNumberFormat="1" applyFont="1" applyBorder="1" applyAlignment="1">
      <alignment horizontal="right" vertical="center"/>
    </xf>
    <xf numFmtId="0" fontId="39" fillId="0" borderId="23" xfId="0" applyFont="1" applyBorder="1" applyAlignment="1">
      <alignment vertical="center" wrapText="1"/>
    </xf>
    <xf numFmtId="0" fontId="83" fillId="61" borderId="19" xfId="0" applyFont="1" applyFill="1" applyBorder="1" applyAlignment="1">
      <alignment horizontal="center" vertical="center" wrapText="1"/>
    </xf>
    <xf numFmtId="6" fontId="41" fillId="62" borderId="23" xfId="0" applyNumberFormat="1" applyFont="1" applyFill="1" applyBorder="1" applyAlignment="1">
      <alignment horizontal="center" vertical="center" wrapText="1"/>
    </xf>
    <xf numFmtId="6" fontId="41" fillId="56" borderId="23" xfId="0" applyNumberFormat="1" applyFont="1" applyFill="1" applyBorder="1" applyAlignment="1">
      <alignment horizontal="center" vertical="center" wrapText="1"/>
    </xf>
    <xf numFmtId="49" fontId="85" fillId="0" borderId="23" xfId="0" applyNumberFormat="1" applyFont="1" applyBorder="1" applyAlignment="1">
      <alignment horizontal="center" vertical="center" wrapText="1"/>
    </xf>
    <xf numFmtId="164" fontId="85" fillId="0" borderId="23" xfId="0" applyNumberFormat="1" applyFont="1" applyBorder="1" applyAlignment="1">
      <alignment horizontal="center" vertical="center" wrapText="1"/>
    </xf>
    <xf numFmtId="0" fontId="86" fillId="6" borderId="20" xfId="0" applyFont="1" applyFill="1" applyBorder="1" applyAlignment="1">
      <alignment vertical="center" wrapText="1"/>
    </xf>
    <xf numFmtId="0" fontId="86" fillId="6" borderId="23" xfId="0" applyFont="1" applyFill="1" applyBorder="1" applyAlignment="1">
      <alignment horizontal="center" vertical="center" wrapText="1"/>
    </xf>
    <xf numFmtId="0" fontId="86" fillId="6" borderId="23" xfId="0" applyFont="1" applyFill="1" applyBorder="1" applyAlignment="1">
      <alignment horizontal="center" vertical="center"/>
    </xf>
    <xf numFmtId="0" fontId="10" fillId="47" borderId="52" xfId="0" applyFont="1" applyFill="1" applyBorder="1" applyAlignment="1">
      <alignment horizontal="left"/>
    </xf>
    <xf numFmtId="0" fontId="66" fillId="52" borderId="5" xfId="0" applyFont="1" applyFill="1" applyBorder="1" applyAlignment="1">
      <alignment horizontal="right" vertical="center"/>
    </xf>
    <xf numFmtId="0" fontId="10" fillId="11" borderId="26" xfId="0" applyFont="1" applyFill="1" applyBorder="1" applyAlignment="1">
      <alignment horizontal="left"/>
    </xf>
    <xf numFmtId="44" fontId="12" fillId="0" borderId="0" xfId="0" applyNumberFormat="1" applyFont="1"/>
    <xf numFmtId="44" fontId="12" fillId="0" borderId="0" xfId="0" applyNumberFormat="1" applyFont="1" applyAlignment="1">
      <alignment wrapText="1"/>
    </xf>
    <xf numFmtId="0" fontId="12" fillId="0" borderId="0" xfId="0" applyFont="1" applyAlignment="1">
      <alignment wrapText="1"/>
    </xf>
    <xf numFmtId="164" fontId="12" fillId="0" borderId="0" xfId="0" applyNumberFormat="1" applyFont="1" applyAlignment="1">
      <alignment wrapText="1"/>
    </xf>
    <xf numFmtId="2" fontId="12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" fontId="0" fillId="0" borderId="0" xfId="0" applyNumberFormat="1"/>
    <xf numFmtId="8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8" fontId="0" fillId="0" borderId="0" xfId="0" applyNumberFormat="1"/>
    <xf numFmtId="164" fontId="0" fillId="0" borderId="0" xfId="0" applyNumberFormat="1" applyFont="1" applyAlignment="1">
      <alignment wrapText="1"/>
    </xf>
    <xf numFmtId="0" fontId="12" fillId="0" borderId="0" xfId="0" applyFont="1" applyFill="1"/>
    <xf numFmtId="44" fontId="0" fillId="0" borderId="0" xfId="0" applyNumberFormat="1" applyFont="1"/>
    <xf numFmtId="0" fontId="0" fillId="0" borderId="0" xfId="0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49" fontId="0" fillId="0" borderId="0" xfId="0" applyNumberFormat="1" applyFill="1" applyBorder="1"/>
    <xf numFmtId="49" fontId="0" fillId="0" borderId="0" xfId="0" applyNumberFormat="1" applyBorder="1"/>
    <xf numFmtId="0" fontId="0" fillId="0" borderId="0" xfId="0" applyFill="1" applyBorder="1" applyAlignment="1">
      <alignment horizontal="left"/>
    </xf>
    <xf numFmtId="0" fontId="31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164" fontId="0" fillId="0" borderId="0" xfId="0" applyNumberFormat="1" applyFill="1"/>
    <xf numFmtId="0" fontId="12" fillId="0" borderId="0" xfId="0" applyFont="1" applyFill="1" applyAlignment="1">
      <alignment wrapText="1"/>
    </xf>
    <xf numFmtId="0" fontId="0" fillId="0" borderId="0" xfId="0" applyFont="1" applyBorder="1" applyAlignment="1">
      <alignment horizontal="left" wrapText="1"/>
    </xf>
    <xf numFmtId="164" fontId="0" fillId="0" borderId="0" xfId="0" applyNumberFormat="1" applyFont="1"/>
    <xf numFmtId="0" fontId="0" fillId="0" borderId="9" xfId="0" applyBorder="1"/>
    <xf numFmtId="44" fontId="0" fillId="0" borderId="0" xfId="0" applyNumberFormat="1" applyFont="1" applyAlignment="1">
      <alignment wrapText="1"/>
    </xf>
    <xf numFmtId="0" fontId="0" fillId="0" borderId="0" xfId="0" applyFont="1" applyFill="1" applyAlignment="1">
      <alignment wrapText="1"/>
    </xf>
    <xf numFmtId="0" fontId="33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0" fillId="0" borderId="0" xfId="0" applyNumberFormat="1" applyFont="1" applyFill="1" applyBorder="1" applyAlignment="1">
      <alignment wrapText="1"/>
    </xf>
    <xf numFmtId="49" fontId="0" fillId="0" borderId="0" xfId="0" applyNumberFormat="1" applyFont="1" applyFill="1" applyBorder="1"/>
    <xf numFmtId="44" fontId="0" fillId="0" borderId="0" xfId="0" applyNumberFormat="1"/>
    <xf numFmtId="49" fontId="0" fillId="0" borderId="0" xfId="0" applyNumberFormat="1" applyFont="1" applyBorder="1"/>
    <xf numFmtId="44" fontId="0" fillId="0" borderId="0" xfId="0" applyNumberFormat="1" applyAlignment="1">
      <alignment horizontal="left" wrapText="1"/>
    </xf>
    <xf numFmtId="0" fontId="10" fillId="47" borderId="0" xfId="0" applyFont="1" applyFill="1" applyBorder="1" applyAlignment="1">
      <alignment horizontal="left" wrapText="1"/>
    </xf>
    <xf numFmtId="0" fontId="66" fillId="47" borderId="52" xfId="0" applyFont="1" applyFill="1" applyBorder="1" applyAlignment="1">
      <alignment horizontal="left"/>
    </xf>
    <xf numFmtId="0" fontId="0" fillId="0" borderId="0" xfId="0" applyFont="1" applyBorder="1"/>
    <xf numFmtId="44" fontId="29" fillId="0" borderId="0" xfId="0" applyNumberFormat="1" applyFont="1" applyBorder="1"/>
    <xf numFmtId="164" fontId="31" fillId="0" borderId="0" xfId="0" applyNumberFormat="1" applyFont="1"/>
    <xf numFmtId="0" fontId="70" fillId="51" borderId="40" xfId="0" applyFont="1" applyFill="1" applyBorder="1" applyAlignment="1">
      <alignment horizontal="center" vertical="center" textRotation="90" readingOrder="2"/>
    </xf>
    <xf numFmtId="0" fontId="68" fillId="51" borderId="39" xfId="0" applyFont="1" applyFill="1" applyBorder="1" applyAlignment="1">
      <alignment horizontal="center" vertical="center" readingOrder="2"/>
    </xf>
    <xf numFmtId="0" fontId="32" fillId="49" borderId="39" xfId="0" applyFont="1" applyFill="1" applyBorder="1" applyAlignment="1">
      <alignment horizontal="left"/>
    </xf>
    <xf numFmtId="167" fontId="72" fillId="51" borderId="16" xfId="0" applyNumberFormat="1" applyFont="1" applyFill="1" applyBorder="1"/>
    <xf numFmtId="167" fontId="72" fillId="51" borderId="37" xfId="0" applyNumberFormat="1" applyFont="1" applyFill="1" applyBorder="1"/>
    <xf numFmtId="0" fontId="83" fillId="59" borderId="72" xfId="0" applyFont="1" applyFill="1" applyBorder="1" applyAlignment="1">
      <alignment horizontal="center" vertical="center" wrapText="1"/>
    </xf>
    <xf numFmtId="0" fontId="83" fillId="58" borderId="73" xfId="0" applyFont="1" applyFill="1" applyBorder="1" applyAlignment="1">
      <alignment horizontal="justify" vertical="center" wrapText="1"/>
    </xf>
    <xf numFmtId="0" fontId="83" fillId="58" borderId="74" xfId="0" applyFont="1" applyFill="1" applyBorder="1" applyAlignment="1">
      <alignment horizontal="right" vertical="center" wrapText="1"/>
    </xf>
    <xf numFmtId="0" fontId="83" fillId="58" borderId="75" xfId="0" applyFont="1" applyFill="1" applyBorder="1" applyAlignment="1">
      <alignment horizontal="right" vertical="center" wrapText="1"/>
    </xf>
    <xf numFmtId="0" fontId="85" fillId="0" borderId="76" xfId="0" applyFont="1" applyBorder="1" applyAlignment="1">
      <alignment horizontal="justify" vertical="center" wrapText="1"/>
    </xf>
    <xf numFmtId="164" fontId="85" fillId="0" borderId="69" xfId="80" applyNumberFormat="1" applyFont="1" applyBorder="1" applyAlignment="1">
      <alignment horizontal="center" vertical="center" wrapText="1"/>
    </xf>
    <xf numFmtId="8" fontId="85" fillId="0" borderId="69" xfId="0" applyNumberFormat="1" applyFont="1" applyBorder="1" applyAlignment="1">
      <alignment horizontal="center" vertical="center" wrapText="1"/>
    </xf>
    <xf numFmtId="8" fontId="85" fillId="0" borderId="77" xfId="0" applyNumberFormat="1" applyFont="1" applyBorder="1" applyAlignment="1">
      <alignment horizontal="center" vertical="center" wrapText="1"/>
    </xf>
    <xf numFmtId="0" fontId="85" fillId="0" borderId="78" xfId="0" applyFont="1" applyBorder="1" applyAlignment="1">
      <alignment horizontal="justify" vertical="center" wrapText="1"/>
    </xf>
    <xf numFmtId="8" fontId="85" fillId="0" borderId="79" xfId="0" applyNumberFormat="1" applyFont="1" applyBorder="1" applyAlignment="1">
      <alignment horizontal="center" vertical="center" wrapText="1"/>
    </xf>
    <xf numFmtId="8" fontId="85" fillId="0" borderId="23" xfId="0" applyNumberFormat="1" applyFont="1" applyBorder="1" applyAlignment="1">
      <alignment horizontal="center" vertical="center" wrapText="1"/>
    </xf>
    <xf numFmtId="10" fontId="0" fillId="0" borderId="0" xfId="0" applyNumberFormat="1" applyFont="1"/>
    <xf numFmtId="169" fontId="88" fillId="0" borderId="0" xfId="0" applyNumberFormat="1" applyFont="1" applyBorder="1"/>
    <xf numFmtId="44" fontId="31" fillId="0" borderId="0" xfId="0" applyNumberFormat="1" applyFont="1"/>
    <xf numFmtId="0" fontId="89" fillId="0" borderId="56" xfId="0" applyFont="1" applyBorder="1" applyAlignment="1">
      <alignment wrapText="1"/>
    </xf>
    <xf numFmtId="0" fontId="0" fillId="58" borderId="0" xfId="0" applyFill="1"/>
    <xf numFmtId="164" fontId="85" fillId="0" borderId="23" xfId="0" applyNumberFormat="1" applyFont="1" applyBorder="1" applyAlignment="1">
      <alignment horizontal="right" vertical="center"/>
    </xf>
    <xf numFmtId="0" fontId="85" fillId="57" borderId="0" xfId="0" applyFont="1" applyFill="1" applyBorder="1" applyAlignment="1">
      <alignment horizontal="justify" vertical="center" wrapText="1"/>
    </xf>
    <xf numFmtId="164" fontId="83" fillId="15" borderId="23" xfId="0" applyNumberFormat="1" applyFont="1" applyFill="1" applyBorder="1" applyAlignment="1">
      <alignment horizontal="right" vertical="center"/>
    </xf>
    <xf numFmtId="44" fontId="0" fillId="0" borderId="0" xfId="0" applyNumberFormat="1" applyFont="1" applyAlignment="1">
      <alignment horizontal="left" wrapText="1"/>
    </xf>
    <xf numFmtId="164" fontId="0" fillId="0" borderId="0" xfId="0" applyNumberFormat="1" applyFont="1" applyFill="1"/>
    <xf numFmtId="49" fontId="31" fillId="0" borderId="0" xfId="0" applyNumberFormat="1" applyFont="1" applyFill="1" applyBorder="1"/>
    <xf numFmtId="0" fontId="19" fillId="8" borderId="0" xfId="0" applyFont="1" applyFill="1" applyAlignment="1">
      <alignment horizontal="center"/>
    </xf>
    <xf numFmtId="3" fontId="91" fillId="0" borderId="0" xfId="0" applyNumberFormat="1" applyFont="1" applyFill="1" applyBorder="1" applyAlignment="1">
      <alignment horizontal="center" vertical="center" wrapText="1"/>
    </xf>
    <xf numFmtId="44" fontId="31" fillId="0" borderId="0" xfId="0" applyNumberFormat="1" applyFont="1" applyAlignment="1">
      <alignment horizontal="left" wrapText="1"/>
    </xf>
    <xf numFmtId="44" fontId="31" fillId="0" borderId="0" xfId="0" applyNumberFormat="1" applyFont="1" applyAlignment="1">
      <alignment wrapText="1"/>
    </xf>
    <xf numFmtId="0" fontId="31" fillId="0" borderId="0" xfId="0" applyFont="1" applyFill="1" applyAlignment="1">
      <alignment wrapText="1"/>
    </xf>
    <xf numFmtId="164" fontId="31" fillId="0" borderId="0" xfId="0" applyNumberFormat="1" applyFont="1" applyAlignment="1">
      <alignment wrapText="1"/>
    </xf>
    <xf numFmtId="0" fontId="73" fillId="0" borderId="0" xfId="0" applyFont="1" applyFill="1" applyAlignment="1">
      <alignment horizontal="center" vertical="center" textRotation="90" readingOrder="2"/>
    </xf>
    <xf numFmtId="0" fontId="0" fillId="55" borderId="0" xfId="0" applyFont="1" applyFill="1" applyAlignment="1">
      <alignment horizontal="left" wrapText="1"/>
    </xf>
    <xf numFmtId="44" fontId="0" fillId="55" borderId="0" xfId="0" applyNumberFormat="1" applyFont="1" applyFill="1" applyAlignment="1">
      <alignment horizontal="left" wrapText="1"/>
    </xf>
    <xf numFmtId="44" fontId="0" fillId="55" borderId="0" xfId="0" applyNumberFormat="1" applyFont="1" applyFill="1" applyAlignment="1">
      <alignment wrapText="1"/>
    </xf>
    <xf numFmtId="0" fontId="0" fillId="55" borderId="0" xfId="0" applyFont="1" applyFill="1" applyAlignment="1">
      <alignment wrapText="1"/>
    </xf>
    <xf numFmtId="164" fontId="0" fillId="55" borderId="0" xfId="0" applyNumberFormat="1" applyFont="1" applyFill="1" applyAlignment="1">
      <alignment wrapText="1"/>
    </xf>
    <xf numFmtId="0" fontId="31" fillId="0" borderId="0" xfId="0" applyFont="1" applyFill="1"/>
    <xf numFmtId="167" fontId="31" fillId="0" borderId="0" xfId="0" applyNumberFormat="1" applyFont="1" applyFill="1"/>
    <xf numFmtId="0" fontId="92" fillId="0" borderId="0" xfId="0" applyFont="1" applyFill="1" applyAlignment="1">
      <alignment horizontal="center" vertical="center" textRotation="90" readingOrder="2"/>
    </xf>
    <xf numFmtId="0" fontId="87" fillId="0" borderId="0" xfId="0" applyFont="1" applyFill="1" applyBorder="1" applyAlignment="1">
      <alignment horizontal="center" vertical="center" readingOrder="2"/>
    </xf>
    <xf numFmtId="0" fontId="93" fillId="0" borderId="0" xfId="0" applyFont="1" applyFill="1" applyBorder="1" applyAlignment="1"/>
    <xf numFmtId="167" fontId="94" fillId="0" borderId="0" xfId="0" applyNumberFormat="1" applyFont="1" applyFill="1"/>
    <xf numFmtId="3" fontId="29" fillId="0" borderId="0" xfId="0" applyNumberFormat="1" applyFont="1" applyBorder="1"/>
    <xf numFmtId="0" fontId="31" fillId="0" borderId="0" xfId="0" applyFont="1" applyAlignment="1">
      <alignment horizontal="center"/>
    </xf>
    <xf numFmtId="168" fontId="31" fillId="0" borderId="0" xfId="80" applyNumberFormat="1" applyFont="1" applyBorder="1" applyAlignment="1">
      <alignment horizontal="left" vertical="center"/>
    </xf>
    <xf numFmtId="44" fontId="31" fillId="0" borderId="0" xfId="0" applyNumberFormat="1" applyFont="1" applyBorder="1"/>
    <xf numFmtId="44" fontId="29" fillId="0" borderId="0" xfId="0" applyNumberFormat="1" applyFont="1" applyBorder="1" applyAlignment="1">
      <alignment horizontal="center"/>
    </xf>
    <xf numFmtId="44" fontId="29" fillId="0" borderId="0" xfId="0" applyNumberFormat="1" applyFont="1" applyBorder="1" applyAlignment="1">
      <alignment horizontal="left"/>
    </xf>
    <xf numFmtId="0" fontId="31" fillId="0" borderId="0" xfId="0" applyFont="1" applyBorder="1" applyAlignment="1">
      <alignment horizontal="center"/>
    </xf>
    <xf numFmtId="2" fontId="31" fillId="0" borderId="0" xfId="0" applyNumberFormat="1" applyFont="1" applyBorder="1"/>
    <xf numFmtId="164" fontId="31" fillId="0" borderId="0" xfId="0" applyNumberFormat="1" applyFont="1" applyBorder="1"/>
    <xf numFmtId="0" fontId="31" fillId="0" borderId="0" xfId="0" applyFont="1" applyAlignment="1">
      <alignment horizontal="right"/>
    </xf>
    <xf numFmtId="0" fontId="0" fillId="0" borderId="0" xfId="0" applyFont="1" applyFill="1" applyAlignment="1">
      <alignment horizontal="left"/>
    </xf>
    <xf numFmtId="0" fontId="33" fillId="0" borderId="0" xfId="0" applyFont="1" applyFill="1" applyAlignment="1">
      <alignment horizontal="left"/>
    </xf>
    <xf numFmtId="0" fontId="76" fillId="0" borderId="0" xfId="0" applyFont="1"/>
    <xf numFmtId="0" fontId="33" fillId="0" borderId="43" xfId="0" applyFont="1" applyFill="1" applyBorder="1" applyAlignment="1">
      <alignment horizontal="left"/>
    </xf>
    <xf numFmtId="0" fontId="33" fillId="0" borderId="46" xfId="0" applyFont="1" applyFill="1" applyBorder="1" applyAlignment="1">
      <alignment horizontal="left"/>
    </xf>
    <xf numFmtId="0" fontId="33" fillId="0" borderId="48" xfId="0" applyFont="1" applyFill="1" applyBorder="1" applyAlignment="1">
      <alignment horizontal="left"/>
    </xf>
    <xf numFmtId="0" fontId="0" fillId="0" borderId="44" xfId="0" applyFont="1" applyBorder="1"/>
    <xf numFmtId="1" fontId="0" fillId="0" borderId="44" xfId="0" applyNumberFormat="1" applyFont="1" applyBorder="1"/>
    <xf numFmtId="0" fontId="0" fillId="0" borderId="45" xfId="0" applyFont="1" applyBorder="1"/>
    <xf numFmtId="6" fontId="76" fillId="3" borderId="46" xfId="0" applyNumberFormat="1" applyFont="1" applyFill="1" applyBorder="1"/>
    <xf numFmtId="0" fontId="76" fillId="3" borderId="0" xfId="0" applyFont="1" applyFill="1" applyBorder="1"/>
    <xf numFmtId="3" fontId="76" fillId="3" borderId="0" xfId="0" applyNumberFormat="1" applyFont="1" applyFill="1" applyBorder="1"/>
    <xf numFmtId="44" fontId="76" fillId="3" borderId="0" xfId="0" applyNumberFormat="1" applyFont="1" applyFill="1" applyBorder="1"/>
    <xf numFmtId="8" fontId="76" fillId="3" borderId="47" xfId="0" applyNumberFormat="1" applyFont="1" applyFill="1" applyBorder="1"/>
    <xf numFmtId="0" fontId="76" fillId="0" borderId="46" xfId="0" applyFont="1" applyBorder="1"/>
    <xf numFmtId="0" fontId="76" fillId="0" borderId="0" xfId="0" applyFont="1" applyBorder="1"/>
    <xf numFmtId="3" fontId="76" fillId="0" borderId="0" xfId="0" applyNumberFormat="1" applyFont="1" applyBorder="1"/>
    <xf numFmtId="167" fontId="76" fillId="0" borderId="0" xfId="0" applyNumberFormat="1" applyFont="1" applyBorder="1"/>
    <xf numFmtId="8" fontId="76" fillId="0" borderId="47" xfId="0" applyNumberFormat="1" applyFont="1" applyBorder="1"/>
    <xf numFmtId="3" fontId="0" fillId="0" borderId="0" xfId="0" applyNumberFormat="1" applyFont="1"/>
    <xf numFmtId="6" fontId="76" fillId="3" borderId="0" xfId="0" applyNumberFormat="1" applyFont="1" applyFill="1" applyBorder="1"/>
    <xf numFmtId="0" fontId="71" fillId="3" borderId="54" xfId="0" applyFont="1" applyFill="1" applyBorder="1"/>
    <xf numFmtId="0" fontId="71" fillId="3" borderId="15" xfId="0" applyFont="1" applyFill="1" applyBorder="1"/>
    <xf numFmtId="8" fontId="71" fillId="3" borderId="55" xfId="0" applyNumberFormat="1" applyFont="1" applyFill="1" applyBorder="1"/>
    <xf numFmtId="0" fontId="71" fillId="3" borderId="46" xfId="0" applyFont="1" applyFill="1" applyBorder="1"/>
    <xf numFmtId="0" fontId="71" fillId="3" borderId="0" xfId="0" applyFont="1" applyFill="1" applyBorder="1"/>
    <xf numFmtId="8" fontId="71" fillId="3" borderId="47" xfId="0" applyNumberFormat="1" applyFont="1" applyFill="1" applyBorder="1"/>
    <xf numFmtId="0" fontId="97" fillId="0" borderId="14" xfId="0" applyFont="1" applyBorder="1" applyAlignment="1">
      <alignment horizontal="center"/>
    </xf>
    <xf numFmtId="0" fontId="97" fillId="0" borderId="14" xfId="0" applyFont="1" applyBorder="1" applyAlignment="1">
      <alignment horizontal="right"/>
    </xf>
    <xf numFmtId="0" fontId="97" fillId="0" borderId="57" xfId="0" applyFont="1" applyBorder="1" applyAlignment="1">
      <alignment horizontal="right"/>
    </xf>
    <xf numFmtId="0" fontId="88" fillId="0" borderId="46" xfId="0" applyFont="1" applyBorder="1" applyAlignment="1">
      <alignment horizontal="right" wrapText="1"/>
    </xf>
    <xf numFmtId="3" fontId="88" fillId="0" borderId="0" xfId="0" applyNumberFormat="1" applyFont="1" applyBorder="1"/>
    <xf numFmtId="164" fontId="88" fillId="0" borderId="0" xfId="0" applyNumberFormat="1" applyFont="1" applyBorder="1"/>
    <xf numFmtId="172" fontId="88" fillId="0" borderId="47" xfId="0" applyNumberFormat="1" applyFont="1" applyBorder="1"/>
    <xf numFmtId="166" fontId="0" fillId="0" borderId="0" xfId="0" applyNumberFormat="1" applyFont="1"/>
    <xf numFmtId="0" fontId="88" fillId="0" borderId="54" xfId="0" applyFont="1" applyBorder="1" applyAlignment="1">
      <alignment horizontal="right" wrapText="1"/>
    </xf>
    <xf numFmtId="164" fontId="88" fillId="0" borderId="15" xfId="0" applyNumberFormat="1" applyFont="1" applyBorder="1"/>
    <xf numFmtId="6" fontId="0" fillId="0" borderId="0" xfId="0" applyNumberFormat="1" applyFont="1"/>
    <xf numFmtId="168" fontId="88" fillId="0" borderId="0" xfId="0" applyNumberFormat="1" applyFont="1" applyBorder="1"/>
    <xf numFmtId="168" fontId="88" fillId="0" borderId="15" xfId="0" applyNumberFormat="1" applyFont="1" applyBorder="1"/>
    <xf numFmtId="169" fontId="88" fillId="0" borderId="15" xfId="0" applyNumberFormat="1" applyFont="1" applyBorder="1"/>
    <xf numFmtId="0" fontId="76" fillId="0" borderId="58" xfId="0" applyFont="1" applyBorder="1" applyAlignment="1">
      <alignment wrapText="1"/>
    </xf>
    <xf numFmtId="0" fontId="95" fillId="6" borderId="59" xfId="0" applyFont="1" applyFill="1" applyBorder="1" applyAlignment="1">
      <alignment horizontal="right"/>
    </xf>
    <xf numFmtId="8" fontId="95" fillId="6" borderId="60" xfId="0" applyNumberFormat="1" applyFont="1" applyFill="1" applyBorder="1"/>
    <xf numFmtId="0" fontId="76" fillId="0" borderId="0" xfId="0" applyFont="1" applyBorder="1" applyAlignment="1">
      <alignment wrapText="1"/>
    </xf>
    <xf numFmtId="0" fontId="95" fillId="0" borderId="0" xfId="0" applyFont="1" applyFill="1" applyBorder="1" applyAlignment="1">
      <alignment horizontal="right"/>
    </xf>
    <xf numFmtId="6" fontId="95" fillId="0" borderId="0" xfId="0" applyNumberFormat="1" applyFont="1" applyFill="1" applyBorder="1"/>
    <xf numFmtId="0" fontId="73" fillId="0" borderId="0" xfId="0" applyFont="1" applyFill="1" applyAlignment="1">
      <alignment horizontal="center" vertical="center" textRotation="90" readingOrder="2"/>
    </xf>
    <xf numFmtId="0" fontId="19" fillId="8" borderId="0" xfId="0" applyFont="1" applyFill="1" applyAlignment="1">
      <alignment horizontal="center"/>
    </xf>
    <xf numFmtId="0" fontId="34" fillId="3" borderId="0" xfId="0" applyFont="1" applyFill="1" applyAlignment="1">
      <alignment horizontal="center" vertical="center" wrapText="1"/>
    </xf>
    <xf numFmtId="0" fontId="36" fillId="6" borderId="0" xfId="0" applyFont="1" applyFill="1" applyAlignment="1">
      <alignment horizontal="center" wrapText="1"/>
    </xf>
    <xf numFmtId="0" fontId="34" fillId="3" borderId="0" xfId="0" applyFont="1" applyFill="1" applyAlignment="1">
      <alignment horizontal="center"/>
    </xf>
    <xf numFmtId="6" fontId="34" fillId="2" borderId="0" xfId="0" applyNumberFormat="1" applyFont="1" applyFill="1" applyAlignment="1">
      <alignment horizontal="center"/>
    </xf>
    <xf numFmtId="49" fontId="34" fillId="3" borderId="0" xfId="0" applyNumberFormat="1" applyFont="1" applyFill="1" applyAlignment="1">
      <alignment horizontal="center"/>
    </xf>
    <xf numFmtId="164" fontId="24" fillId="3" borderId="53" xfId="0" applyNumberFormat="1" applyFont="1" applyFill="1" applyBorder="1"/>
    <xf numFmtId="164" fontId="23" fillId="3" borderId="2" xfId="0" applyNumberFormat="1" applyFont="1" applyFill="1" applyBorder="1"/>
    <xf numFmtId="164" fontId="23" fillId="3" borderId="17" xfId="0" applyNumberFormat="1" applyFont="1" applyFill="1" applyBorder="1" applyAlignment="1">
      <alignment wrapText="1"/>
    </xf>
    <xf numFmtId="164" fontId="23" fillId="3" borderId="2" xfId="0" applyNumberFormat="1" applyFont="1" applyFill="1" applyBorder="1" applyAlignment="1">
      <alignment wrapText="1"/>
    </xf>
    <xf numFmtId="164" fontId="76" fillId="3" borderId="2" xfId="0" applyNumberFormat="1" applyFont="1" applyFill="1" applyBorder="1"/>
    <xf numFmtId="164" fontId="76" fillId="0" borderId="2" xfId="0" applyNumberFormat="1" applyFont="1" applyFill="1" applyBorder="1"/>
    <xf numFmtId="164" fontId="95" fillId="3" borderId="2" xfId="0" applyNumberFormat="1" applyFont="1" applyFill="1" applyBorder="1"/>
    <xf numFmtId="164" fontId="30" fillId="3" borderId="2" xfId="0" applyNumberFormat="1" applyFont="1" applyFill="1" applyBorder="1"/>
    <xf numFmtId="164" fontId="66" fillId="48" borderId="4" xfId="0" applyNumberFormat="1" applyFont="1" applyFill="1" applyBorder="1" applyAlignment="1">
      <alignment horizontal="center"/>
    </xf>
    <xf numFmtId="164" fontId="66" fillId="48" borderId="8" xfId="0" applyNumberFormat="1" applyFont="1" applyFill="1" applyBorder="1" applyAlignment="1">
      <alignment horizontal="center"/>
    </xf>
    <xf numFmtId="164" fontId="76" fillId="3" borderId="17" xfId="0" applyNumberFormat="1" applyFont="1" applyFill="1" applyBorder="1" applyAlignment="1">
      <alignment wrapText="1"/>
    </xf>
    <xf numFmtId="164" fontId="76" fillId="3" borderId="2" xfId="0" applyNumberFormat="1" applyFont="1" applyFill="1" applyBorder="1" applyAlignment="1">
      <alignment wrapText="1"/>
    </xf>
    <xf numFmtId="164" fontId="30" fillId="3" borderId="2" xfId="0" applyNumberFormat="1" applyFont="1" applyFill="1" applyBorder="1" applyAlignment="1">
      <alignment wrapText="1"/>
    </xf>
    <xf numFmtId="164" fontId="30" fillId="3" borderId="17" xfId="0" applyNumberFormat="1" applyFont="1" applyFill="1" applyBorder="1" applyAlignment="1">
      <alignment wrapText="1"/>
    </xf>
    <xf numFmtId="164" fontId="71" fillId="53" borderId="0" xfId="0" applyNumberFormat="1" applyFont="1" applyFill="1" applyBorder="1"/>
    <xf numFmtId="164" fontId="72" fillId="51" borderId="36" xfId="0" applyNumberFormat="1" applyFont="1" applyFill="1" applyBorder="1"/>
    <xf numFmtId="164" fontId="72" fillId="51" borderId="11" xfId="0" applyNumberFormat="1" applyFont="1" applyFill="1" applyBorder="1"/>
    <xf numFmtId="174" fontId="24" fillId="3" borderId="53" xfId="80" applyNumberFormat="1" applyFont="1" applyFill="1" applyBorder="1"/>
    <xf numFmtId="164" fontId="76" fillId="0" borderId="2" xfId="0" applyNumberFormat="1" applyFont="1" applyFill="1" applyBorder="1" applyAlignment="1">
      <alignment wrapText="1"/>
    </xf>
    <xf numFmtId="0" fontId="73" fillId="0" borderId="0" xfId="0" applyFont="1" applyFill="1" applyAlignment="1">
      <alignment horizontal="center" vertical="center" textRotation="90" readingOrder="2"/>
    </xf>
    <xf numFmtId="0" fontId="73" fillId="0" borderId="0" xfId="0" applyFont="1" applyFill="1" applyAlignment="1">
      <alignment horizontal="center" vertical="center" textRotation="90" readingOrder="2"/>
    </xf>
    <xf numFmtId="164" fontId="98" fillId="66" borderId="18" xfId="80" applyNumberFormat="1" applyFont="1" applyFill="1" applyBorder="1" applyAlignment="1">
      <alignment horizontal="center"/>
    </xf>
    <xf numFmtId="3" fontId="100" fillId="0" borderId="0" xfId="0" applyNumberFormat="1" applyFont="1" applyBorder="1" applyAlignment="1">
      <alignment horizontal="center" vertical="center" wrapText="1"/>
    </xf>
    <xf numFmtId="164" fontId="88" fillId="0" borderId="0" xfId="80" applyNumberFormat="1" applyFont="1" applyBorder="1" applyAlignment="1">
      <alignment horizontal="center"/>
    </xf>
    <xf numFmtId="3" fontId="100" fillId="0" borderId="0" xfId="0" applyNumberFormat="1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right"/>
    </xf>
    <xf numFmtId="0" fontId="10" fillId="7" borderId="0" xfId="0" applyFont="1" applyFill="1" applyBorder="1" applyAlignment="1">
      <alignment horizontal="right"/>
    </xf>
    <xf numFmtId="49" fontId="69" fillId="64" borderId="0" xfId="0" applyNumberFormat="1" applyFont="1" applyFill="1" applyBorder="1" applyAlignment="1">
      <alignment horizontal="left"/>
    </xf>
    <xf numFmtId="164" fontId="88" fillId="0" borderId="0" xfId="80" applyNumberFormat="1" applyFont="1" applyFill="1" applyBorder="1" applyAlignment="1">
      <alignment horizontal="center" vertical="center"/>
    </xf>
    <xf numFmtId="164" fontId="88" fillId="65" borderId="0" xfId="80" applyNumberFormat="1" applyFont="1" applyFill="1" applyBorder="1" applyAlignment="1">
      <alignment horizontal="center" vertical="center"/>
    </xf>
    <xf numFmtId="164" fontId="31" fillId="0" borderId="0" xfId="0" applyNumberFormat="1" applyFont="1" applyBorder="1" applyAlignment="1">
      <alignment horizontal="center"/>
    </xf>
    <xf numFmtId="49" fontId="0" fillId="0" borderId="0" xfId="0" applyNumberFormat="1" applyFill="1" applyBorder="1" applyAlignment="1">
      <alignment wrapText="1"/>
    </xf>
    <xf numFmtId="167" fontId="76" fillId="3" borderId="66" xfId="0" applyNumberFormat="1" applyFont="1" applyFill="1" applyBorder="1" applyAlignment="1">
      <alignment wrapText="1"/>
    </xf>
    <xf numFmtId="0" fontId="65" fillId="0" borderId="20" xfId="0" applyFont="1" applyBorder="1" applyAlignment="1">
      <alignment vertical="center" wrapText="1"/>
    </xf>
    <xf numFmtId="167" fontId="65" fillId="63" borderId="23" xfId="0" applyNumberFormat="1" applyFont="1" applyFill="1" applyBorder="1" applyAlignment="1">
      <alignment horizontal="right" vertical="center" wrapText="1"/>
    </xf>
    <xf numFmtId="0" fontId="65" fillId="0" borderId="80" xfId="0" applyFont="1" applyBorder="1" applyAlignment="1">
      <alignment vertical="center" wrapText="1"/>
    </xf>
    <xf numFmtId="0" fontId="65" fillId="0" borderId="18" xfId="0" applyFont="1" applyBorder="1" applyAlignment="1">
      <alignment vertical="center" wrapText="1"/>
    </xf>
    <xf numFmtId="0" fontId="67" fillId="15" borderId="20" xfId="0" applyFont="1" applyFill="1" applyBorder="1" applyAlignment="1">
      <alignment vertical="center" wrapText="1"/>
    </xf>
    <xf numFmtId="167" fontId="67" fillId="15" borderId="23" xfId="0" applyNumberFormat="1" applyFont="1" applyFill="1" applyBorder="1" applyAlignment="1">
      <alignment horizontal="right" vertical="center" wrapText="1"/>
    </xf>
    <xf numFmtId="0" fontId="67" fillId="0" borderId="44" xfId="0" applyFont="1" applyBorder="1" applyAlignment="1">
      <alignment vertical="center" wrapText="1"/>
    </xf>
    <xf numFmtId="167" fontId="67" fillId="63" borderId="23" xfId="0" applyNumberFormat="1" applyFont="1" applyFill="1" applyBorder="1" applyAlignment="1">
      <alignment horizontal="right" vertical="center" wrapText="1"/>
    </xf>
    <xf numFmtId="0" fontId="85" fillId="0" borderId="20" xfId="0" applyFont="1" applyBorder="1" applyAlignment="1">
      <alignment vertical="center" wrapText="1"/>
    </xf>
    <xf numFmtId="167" fontId="85" fillId="0" borderId="23" xfId="0" applyNumberFormat="1" applyFont="1" applyBorder="1" applyAlignment="1">
      <alignment horizontal="right" vertical="center" wrapText="1"/>
    </xf>
    <xf numFmtId="0" fontId="83" fillId="15" borderId="20" xfId="0" applyFont="1" applyFill="1" applyBorder="1" applyAlignment="1">
      <alignment horizontal="right" vertical="center" wrapText="1"/>
    </xf>
    <xf numFmtId="167" fontId="83" fillId="15" borderId="23" xfId="0" applyNumberFormat="1" applyFont="1" applyFill="1" applyBorder="1" applyAlignment="1">
      <alignment horizontal="right" vertical="center" wrapText="1"/>
    </xf>
    <xf numFmtId="0" fontId="95" fillId="10" borderId="11" xfId="0" applyFont="1" applyFill="1" applyBorder="1" applyAlignment="1">
      <alignment horizontal="center"/>
    </xf>
    <xf numFmtId="0" fontId="10" fillId="47" borderId="62" xfId="0" applyFont="1" applyFill="1" applyBorder="1" applyAlignment="1">
      <alignment horizontal="left" vertical="center" wrapText="1"/>
    </xf>
    <xf numFmtId="167" fontId="76" fillId="3" borderId="67" xfId="0" applyNumberFormat="1" applyFont="1" applyFill="1" applyBorder="1" applyAlignment="1">
      <alignment wrapText="1"/>
    </xf>
    <xf numFmtId="0" fontId="77" fillId="48" borderId="63" xfId="0" applyFont="1" applyFill="1" applyBorder="1" applyAlignment="1">
      <alignment horizontal="right" vertical="center" wrapText="1"/>
    </xf>
    <xf numFmtId="167" fontId="71" fillId="52" borderId="67" xfId="0" applyNumberFormat="1" applyFont="1" applyFill="1" applyBorder="1" applyAlignment="1">
      <alignment wrapText="1"/>
    </xf>
    <xf numFmtId="0" fontId="10" fillId="11" borderId="63" xfId="0" applyFont="1" applyFill="1" applyBorder="1" applyAlignment="1">
      <alignment horizontal="left" vertical="center" wrapText="1"/>
    </xf>
    <xf numFmtId="0" fontId="66" fillId="53" borderId="65" xfId="0" applyFont="1" applyFill="1" applyBorder="1" applyAlignment="1">
      <alignment horizontal="right" vertical="center" wrapText="1"/>
    </xf>
    <xf numFmtId="167" fontId="71" fillId="53" borderId="64" xfId="0" applyNumberFormat="1" applyFont="1" applyFill="1" applyBorder="1" applyAlignment="1">
      <alignment wrapText="1"/>
    </xf>
    <xf numFmtId="0" fontId="32" fillId="49" borderId="40" xfId="0" applyFont="1" applyFill="1" applyBorder="1" applyAlignment="1">
      <alignment horizontal="center" wrapText="1"/>
    </xf>
    <xf numFmtId="0" fontId="32" fillId="49" borderId="38" xfId="0" applyFont="1" applyFill="1" applyBorder="1" applyAlignment="1">
      <alignment horizontal="right" wrapText="1"/>
    </xf>
    <xf numFmtId="167" fontId="72" fillId="51" borderId="11" xfId="0" applyNumberFormat="1" applyFont="1" applyFill="1" applyBorder="1" applyAlignment="1">
      <alignment wrapText="1"/>
    </xf>
    <xf numFmtId="167" fontId="23" fillId="3" borderId="82" xfId="0" applyNumberFormat="1" applyFont="1" applyFill="1" applyBorder="1" applyAlignment="1">
      <alignment wrapText="1"/>
    </xf>
    <xf numFmtId="167" fontId="76" fillId="3" borderId="82" xfId="0" applyNumberFormat="1" applyFont="1" applyFill="1" applyBorder="1" applyAlignment="1">
      <alignment wrapText="1"/>
    </xf>
    <xf numFmtId="167" fontId="71" fillId="52" borderId="83" xfId="0" applyNumberFormat="1" applyFont="1" applyFill="1" applyBorder="1" applyAlignment="1">
      <alignment wrapText="1"/>
    </xf>
    <xf numFmtId="167" fontId="23" fillId="3" borderId="13" xfId="0" applyNumberFormat="1" applyFont="1" applyFill="1" applyBorder="1" applyAlignment="1">
      <alignment wrapText="1"/>
    </xf>
    <xf numFmtId="167" fontId="71" fillId="53" borderId="13" xfId="0" applyNumberFormat="1" applyFont="1" applyFill="1" applyBorder="1" applyAlignment="1">
      <alignment wrapText="1"/>
    </xf>
    <xf numFmtId="167" fontId="72" fillId="51" borderId="38" xfId="0" applyNumberFormat="1" applyFont="1" applyFill="1" applyBorder="1" applyAlignment="1">
      <alignment wrapText="1"/>
    </xf>
    <xf numFmtId="0" fontId="103" fillId="56" borderId="18" xfId="0" applyFont="1" applyFill="1" applyBorder="1" applyAlignment="1">
      <alignment vertical="center" wrapText="1"/>
    </xf>
    <xf numFmtId="0" fontId="103" fillId="56" borderId="19" xfId="0" applyFont="1" applyFill="1" applyBorder="1" applyAlignment="1">
      <alignment horizontal="center" vertical="center"/>
    </xf>
    <xf numFmtId="0" fontId="104" fillId="56" borderId="18" xfId="0" applyFont="1" applyFill="1" applyBorder="1" applyAlignment="1">
      <alignment vertical="center" wrapText="1"/>
    </xf>
    <xf numFmtId="0" fontId="104" fillId="56" borderId="19" xfId="0" applyFont="1" applyFill="1" applyBorder="1" applyAlignment="1">
      <alignment horizontal="center" vertical="center"/>
    </xf>
    <xf numFmtId="0" fontId="104" fillId="56" borderId="19" xfId="0" applyFont="1" applyFill="1" applyBorder="1" applyAlignment="1">
      <alignment horizontal="center" vertical="center" wrapText="1"/>
    </xf>
    <xf numFmtId="0" fontId="104" fillId="56" borderId="20" xfId="0" applyFont="1" applyFill="1" applyBorder="1" applyAlignment="1">
      <alignment vertical="center" wrapText="1"/>
    </xf>
    <xf numFmtId="0" fontId="104" fillId="56" borderId="23" xfId="0" applyFont="1" applyFill="1" applyBorder="1" applyAlignment="1">
      <alignment horizontal="center" vertical="center"/>
    </xf>
    <xf numFmtId="0" fontId="104" fillId="56" borderId="23" xfId="0" applyFont="1" applyFill="1" applyBorder="1" applyAlignment="1">
      <alignment horizontal="center" vertical="center" wrapText="1"/>
    </xf>
    <xf numFmtId="0" fontId="104" fillId="56" borderId="19" xfId="0" applyFont="1" applyFill="1" applyBorder="1" applyAlignment="1">
      <alignment horizontal="right" vertical="center"/>
    </xf>
    <xf numFmtId="1" fontId="0" fillId="0" borderId="0" xfId="0" applyNumberFormat="1" applyFont="1" applyFill="1"/>
    <xf numFmtId="0" fontId="0" fillId="0" borderId="0" xfId="0" applyFont="1" applyFill="1"/>
    <xf numFmtId="0" fontId="19" fillId="10" borderId="11" xfId="0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/>
    <xf numFmtId="164" fontId="0" fillId="54" borderId="0" xfId="0" applyNumberFormat="1" applyFont="1" applyFill="1"/>
    <xf numFmtId="0" fontId="96" fillId="10" borderId="11" xfId="0" applyFont="1" applyFill="1" applyBorder="1" applyAlignment="1" applyProtection="1">
      <alignment horizontal="center"/>
      <protection locked="0"/>
    </xf>
    <xf numFmtId="0" fontId="10" fillId="0" borderId="11" xfId="0" applyFont="1" applyFill="1" applyBorder="1" applyAlignment="1" applyProtection="1">
      <alignment horizontal="left" wrapText="1"/>
      <protection locked="0"/>
    </xf>
    <xf numFmtId="167" fontId="76" fillId="3" borderId="66" xfId="0" applyNumberFormat="1" applyFont="1" applyFill="1" applyBorder="1" applyAlignment="1" applyProtection="1">
      <alignment wrapText="1"/>
      <protection locked="0"/>
    </xf>
    <xf numFmtId="0" fontId="77" fillId="48" borderId="65" xfId="0" applyFont="1" applyFill="1" applyBorder="1" applyAlignment="1" applyProtection="1">
      <alignment horizontal="right" wrapText="1"/>
      <protection locked="0"/>
    </xf>
    <xf numFmtId="167" fontId="71" fillId="52" borderId="68" xfId="0" applyNumberFormat="1" applyFont="1" applyFill="1" applyBorder="1" applyAlignment="1" applyProtection="1">
      <alignment wrapText="1"/>
      <protection locked="0"/>
    </xf>
    <xf numFmtId="0" fontId="101" fillId="0" borderId="39" xfId="0" applyFont="1" applyFill="1" applyBorder="1" applyAlignment="1" applyProtection="1">
      <alignment horizontal="center"/>
      <protection locked="0"/>
    </xf>
    <xf numFmtId="0" fontId="101" fillId="0" borderId="37" xfId="0" applyFont="1" applyFill="1" applyBorder="1" applyAlignment="1" applyProtection="1">
      <alignment horizontal="center"/>
      <protection locked="0"/>
    </xf>
    <xf numFmtId="0" fontId="68" fillId="52" borderId="11" xfId="0" applyFont="1" applyFill="1" applyBorder="1" applyAlignment="1" applyProtection="1">
      <alignment horizontal="center" vertical="center" textRotation="90" wrapText="1" readingOrder="2"/>
      <protection locked="0"/>
    </xf>
    <xf numFmtId="0" fontId="46" fillId="0" borderId="10" xfId="0" applyFont="1" applyBorder="1" applyAlignment="1">
      <alignment horizontal="left"/>
    </xf>
    <xf numFmtId="0" fontId="46" fillId="0" borderId="0" xfId="0" applyFont="1" applyBorder="1" applyAlignment="1">
      <alignment horizontal="left"/>
    </xf>
    <xf numFmtId="0" fontId="102" fillId="0" borderId="40" xfId="0" applyFont="1" applyFill="1" applyBorder="1" applyAlignment="1">
      <alignment horizontal="center"/>
    </xf>
    <xf numFmtId="0" fontId="102" fillId="0" borderId="38" xfId="0" applyFont="1" applyFill="1" applyBorder="1" applyAlignment="1">
      <alignment horizontal="center"/>
    </xf>
    <xf numFmtId="0" fontId="68" fillId="52" borderId="36" xfId="0" applyFont="1" applyFill="1" applyBorder="1" applyAlignment="1">
      <alignment horizontal="center" vertical="center" wrapText="1" readingOrder="2"/>
    </xf>
    <xf numFmtId="0" fontId="68" fillId="52" borderId="64" xfId="0" applyFont="1" applyFill="1" applyBorder="1" applyAlignment="1">
      <alignment horizontal="center" vertical="center" wrapText="1" readingOrder="2"/>
    </xf>
    <xf numFmtId="0" fontId="68" fillId="52" borderId="65" xfId="0" applyFont="1" applyFill="1" applyBorder="1" applyAlignment="1">
      <alignment horizontal="center" vertical="center" wrapText="1" readingOrder="2"/>
    </xf>
    <xf numFmtId="0" fontId="68" fillId="12" borderId="36" xfId="0" applyFont="1" applyFill="1" applyBorder="1" applyAlignment="1">
      <alignment horizontal="center" vertical="center" wrapText="1" readingOrder="2"/>
    </xf>
    <xf numFmtId="0" fontId="68" fillId="12" borderId="65" xfId="0" applyFont="1" applyFill="1" applyBorder="1" applyAlignment="1">
      <alignment horizontal="center" vertical="center" wrapText="1" readingOrder="2"/>
    </xf>
    <xf numFmtId="0" fontId="75" fillId="53" borderId="43" xfId="0" applyFont="1" applyFill="1" applyBorder="1" applyAlignment="1">
      <alignment horizontal="left" vertical="center" readingOrder="2"/>
    </xf>
    <xf numFmtId="0" fontId="75" fillId="53" borderId="44" xfId="0" applyFont="1" applyFill="1" applyBorder="1" applyAlignment="1">
      <alignment horizontal="left" vertical="center" readingOrder="2"/>
    </xf>
    <xf numFmtId="0" fontId="67" fillId="53" borderId="48" xfId="0" applyFont="1" applyFill="1" applyBorder="1" applyAlignment="1">
      <alignment horizontal="left" vertical="center" readingOrder="2"/>
    </xf>
    <xf numFmtId="0" fontId="67" fillId="53" borderId="49" xfId="0" applyFont="1" applyFill="1" applyBorder="1" applyAlignment="1">
      <alignment horizontal="left" vertical="center" readingOrder="2"/>
    </xf>
    <xf numFmtId="0" fontId="73" fillId="0" borderId="0" xfId="0" applyFont="1" applyFill="1" applyAlignment="1">
      <alignment horizontal="center" vertical="center" textRotation="90" readingOrder="2"/>
    </xf>
    <xf numFmtId="0" fontId="83" fillId="0" borderId="50" xfId="0" applyFont="1" applyBorder="1" applyAlignment="1">
      <alignment horizontal="left" vertical="center"/>
    </xf>
    <xf numFmtId="0" fontId="83" fillId="0" borderId="51" xfId="0" applyFont="1" applyBorder="1" applyAlignment="1">
      <alignment horizontal="left" vertical="center"/>
    </xf>
    <xf numFmtId="0" fontId="83" fillId="0" borderId="19" xfId="0" applyFont="1" applyBorder="1" applyAlignment="1">
      <alignment horizontal="left" vertical="center"/>
    </xf>
    <xf numFmtId="0" fontId="70" fillId="51" borderId="11" xfId="0" applyFont="1" applyFill="1" applyBorder="1" applyAlignment="1">
      <alignment horizontal="center" vertical="center" textRotation="90" readingOrder="2"/>
    </xf>
    <xf numFmtId="0" fontId="68" fillId="52" borderId="11" xfId="0" applyFont="1" applyFill="1" applyBorder="1" applyAlignment="1">
      <alignment horizontal="center" vertical="center" textRotation="90" wrapText="1" readingOrder="2"/>
    </xf>
    <xf numFmtId="0" fontId="68" fillId="12" borderId="38" xfId="0" applyFont="1" applyFill="1" applyBorder="1" applyAlignment="1">
      <alignment horizontal="center" vertical="center" textRotation="90" readingOrder="2"/>
    </xf>
    <xf numFmtId="0" fontId="68" fillId="12" borderId="37" xfId="0" applyFont="1" applyFill="1" applyBorder="1" applyAlignment="1">
      <alignment horizontal="center" vertical="center" textRotation="90" readingOrder="2"/>
    </xf>
    <xf numFmtId="0" fontId="34" fillId="3" borderId="0" xfId="0" applyFont="1" applyFill="1" applyAlignment="1">
      <alignment horizontal="center" vertical="center" wrapText="1"/>
    </xf>
    <xf numFmtId="0" fontId="69" fillId="13" borderId="40" xfId="0" applyFont="1" applyFill="1" applyBorder="1" applyAlignment="1">
      <alignment horizontal="center" vertical="center" textRotation="90" readingOrder="2"/>
    </xf>
    <xf numFmtId="0" fontId="68" fillId="50" borderId="39" xfId="0" applyFont="1" applyFill="1" applyBorder="1" applyAlignment="1">
      <alignment horizontal="center" vertical="center" textRotation="90" readingOrder="2"/>
    </xf>
    <xf numFmtId="0" fontId="68" fillId="50" borderId="9" xfId="0" applyFont="1" applyFill="1" applyBorder="1" applyAlignment="1">
      <alignment horizontal="center" vertical="center" textRotation="90" readingOrder="2"/>
    </xf>
    <xf numFmtId="0" fontId="68" fillId="50" borderId="41" xfId="0" applyFont="1" applyFill="1" applyBorder="1" applyAlignment="1">
      <alignment horizontal="center" vertical="center" textRotation="90" readingOrder="2"/>
    </xf>
    <xf numFmtId="0" fontId="36" fillId="6" borderId="0" xfId="0" applyFont="1" applyFill="1" applyAlignment="1">
      <alignment horizontal="center" wrapText="1"/>
    </xf>
    <xf numFmtId="49" fontId="34" fillId="3" borderId="0" xfId="0" applyNumberFormat="1" applyFont="1" applyFill="1" applyAlignment="1">
      <alignment horizontal="center"/>
    </xf>
    <xf numFmtId="6" fontId="34" fillId="2" borderId="0" xfId="0" applyNumberFormat="1" applyFont="1" applyFill="1" applyAlignment="1">
      <alignment horizontal="center"/>
    </xf>
    <xf numFmtId="0" fontId="34" fillId="3" borderId="0" xfId="0" applyFont="1" applyFill="1" applyAlignment="1">
      <alignment horizontal="center"/>
    </xf>
    <xf numFmtId="0" fontId="0" fillId="0" borderId="10" xfId="0" applyBorder="1" applyAlignment="1">
      <alignment horizontal="center"/>
    </xf>
    <xf numFmtId="0" fontId="79" fillId="0" borderId="40" xfId="0" applyFont="1" applyFill="1" applyBorder="1" applyAlignment="1">
      <alignment horizontal="center"/>
    </xf>
    <xf numFmtId="0" fontId="79" fillId="0" borderId="38" xfId="0" applyFont="1" applyFill="1" applyBorder="1" applyAlignment="1">
      <alignment horizontal="center"/>
    </xf>
    <xf numFmtId="0" fontId="68" fillId="12" borderId="64" xfId="0" applyFont="1" applyFill="1" applyBorder="1" applyAlignment="1">
      <alignment horizontal="center" vertical="center" wrapText="1" readingOrder="2"/>
    </xf>
    <xf numFmtId="0" fontId="25" fillId="4" borderId="40" xfId="0" applyFont="1" applyFill="1" applyBorder="1" applyAlignment="1">
      <alignment horizontal="center"/>
    </xf>
    <xf numFmtId="0" fontId="25" fillId="4" borderId="42" xfId="0" applyFont="1" applyFill="1" applyBorder="1" applyAlignment="1">
      <alignment horizontal="center"/>
    </xf>
    <xf numFmtId="0" fontId="25" fillId="4" borderId="38" xfId="0" applyFont="1" applyFill="1" applyBorder="1" applyAlignment="1">
      <alignment horizontal="center"/>
    </xf>
    <xf numFmtId="0" fontId="19" fillId="8" borderId="25" xfId="0" applyFont="1" applyFill="1" applyBorder="1" applyAlignment="1">
      <alignment horizontal="center"/>
    </xf>
    <xf numFmtId="0" fontId="19" fillId="8" borderId="0" xfId="0" applyFont="1" applyFill="1" applyAlignment="1">
      <alignment horizontal="center"/>
    </xf>
    <xf numFmtId="0" fontId="68" fillId="12" borderId="38" xfId="0" applyFont="1" applyFill="1" applyBorder="1" applyAlignment="1">
      <alignment horizontal="center" vertical="center" textRotation="90" wrapText="1" readingOrder="2"/>
    </xf>
    <xf numFmtId="0" fontId="68" fillId="12" borderId="37" xfId="0" applyFont="1" applyFill="1" applyBorder="1" applyAlignment="1">
      <alignment horizontal="center" vertical="center" textRotation="90" wrapText="1" readingOrder="2"/>
    </xf>
    <xf numFmtId="0" fontId="79" fillId="0" borderId="0" xfId="0" applyFont="1" applyFill="1" applyBorder="1" applyAlignment="1">
      <alignment horizontal="center"/>
    </xf>
    <xf numFmtId="0" fontId="79" fillId="0" borderId="13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83" fillId="61" borderId="81" xfId="0" applyFont="1" applyFill="1" applyBorder="1" applyAlignment="1">
      <alignment vertical="center" wrapText="1"/>
    </xf>
    <xf numFmtId="0" fontId="83" fillId="61" borderId="20" xfId="0" applyFont="1" applyFill="1" applyBorder="1" applyAlignment="1">
      <alignment vertical="center" wrapText="1"/>
    </xf>
    <xf numFmtId="0" fontId="85" fillId="0" borderId="81" xfId="0" applyFont="1" applyBorder="1" applyAlignment="1">
      <alignment horizontal="center" vertical="center" wrapText="1"/>
    </xf>
    <xf numFmtId="0" fontId="85" fillId="0" borderId="20" xfId="0" applyFont="1" applyBorder="1" applyAlignment="1">
      <alignment horizontal="center" vertical="center" wrapText="1"/>
    </xf>
    <xf numFmtId="0" fontId="41" fillId="56" borderId="50" xfId="0" applyFont="1" applyFill="1" applyBorder="1" applyAlignment="1">
      <alignment vertical="center" wrapText="1"/>
    </xf>
    <xf numFmtId="0" fontId="41" fillId="56" borderId="19" xfId="0" applyFont="1" applyFill="1" applyBorder="1" applyAlignment="1">
      <alignment vertical="center" wrapText="1"/>
    </xf>
    <xf numFmtId="0" fontId="83" fillId="61" borderId="43" xfId="0" applyFont="1" applyFill="1" applyBorder="1" applyAlignment="1">
      <alignment vertical="center" wrapText="1"/>
    </xf>
    <xf numFmtId="0" fontId="83" fillId="61" borderId="45" xfId="0" applyFont="1" applyFill="1" applyBorder="1" applyAlignment="1">
      <alignment vertical="center" wrapText="1"/>
    </xf>
    <xf numFmtId="0" fontId="83" fillId="61" borderId="48" xfId="0" applyFont="1" applyFill="1" applyBorder="1" applyAlignment="1">
      <alignment vertical="center" wrapText="1"/>
    </xf>
    <xf numFmtId="0" fontId="83" fillId="61" borderId="23" xfId="0" applyFont="1" applyFill="1" applyBorder="1" applyAlignment="1">
      <alignment vertical="center" wrapText="1"/>
    </xf>
    <xf numFmtId="0" fontId="41" fillId="62" borderId="50" xfId="0" applyFont="1" applyFill="1" applyBorder="1" applyAlignment="1">
      <alignment vertical="center" wrapText="1"/>
    </xf>
    <xf numFmtId="0" fontId="41" fillId="62" borderId="19" xfId="0" applyFont="1" applyFill="1" applyBorder="1" applyAlignment="1">
      <alignment vertical="center" wrapText="1"/>
    </xf>
    <xf numFmtId="0" fontId="87" fillId="0" borderId="43" xfId="0" applyFont="1" applyBorder="1" applyAlignment="1">
      <alignment horizontal="center" vertical="center"/>
    </xf>
    <xf numFmtId="0" fontId="87" fillId="0" borderId="44" xfId="0" applyFont="1" applyBorder="1" applyAlignment="1">
      <alignment horizontal="center" vertical="center"/>
    </xf>
    <xf numFmtId="0" fontId="87" fillId="0" borderId="45" xfId="0" applyFont="1" applyBorder="1" applyAlignment="1">
      <alignment horizontal="center" vertical="center"/>
    </xf>
    <xf numFmtId="0" fontId="87" fillId="0" borderId="48" xfId="0" applyFont="1" applyBorder="1" applyAlignment="1">
      <alignment horizontal="center" vertical="center"/>
    </xf>
    <xf numFmtId="0" fontId="87" fillId="0" borderId="49" xfId="0" applyFont="1" applyBorder="1" applyAlignment="1">
      <alignment horizontal="center" vertical="center"/>
    </xf>
    <xf numFmtId="0" fontId="87" fillId="0" borderId="23" xfId="0" applyFont="1" applyBorder="1" applyAlignment="1">
      <alignment horizontal="center" vertical="center"/>
    </xf>
    <xf numFmtId="49" fontId="85" fillId="0" borderId="50" xfId="0" applyNumberFormat="1" applyFont="1" applyBorder="1" applyAlignment="1">
      <alignment horizontal="center" vertical="center" wrapText="1"/>
    </xf>
    <xf numFmtId="49" fontId="85" fillId="0" borderId="19" xfId="0" applyNumberFormat="1" applyFont="1" applyBorder="1" applyAlignment="1">
      <alignment horizontal="center" vertical="center" wrapText="1"/>
    </xf>
    <xf numFmtId="164" fontId="85" fillId="0" borderId="50" xfId="0" applyNumberFormat="1" applyFont="1" applyBorder="1" applyAlignment="1">
      <alignment horizontal="center" vertical="center" wrapText="1"/>
    </xf>
    <xf numFmtId="164" fontId="85" fillId="0" borderId="19" xfId="0" applyNumberFormat="1" applyFont="1" applyBorder="1" applyAlignment="1">
      <alignment horizontal="center" vertical="center" wrapText="1"/>
    </xf>
    <xf numFmtId="49" fontId="85" fillId="0" borderId="51" xfId="0" applyNumberFormat="1" applyFont="1" applyBorder="1" applyAlignment="1">
      <alignment horizontal="center" vertical="center" wrapText="1"/>
    </xf>
    <xf numFmtId="164" fontId="85" fillId="0" borderId="51" xfId="0" applyNumberFormat="1" applyFont="1" applyBorder="1" applyAlignment="1">
      <alignment horizontal="center" vertical="center" wrapText="1"/>
    </xf>
    <xf numFmtId="0" fontId="86" fillId="61" borderId="50" xfId="0" applyFont="1" applyFill="1" applyBorder="1" applyAlignment="1">
      <alignment horizontal="right" vertical="center" wrapText="1"/>
    </xf>
    <xf numFmtId="0" fontId="86" fillId="61" borderId="51" xfId="0" applyFont="1" applyFill="1" applyBorder="1" applyAlignment="1">
      <alignment horizontal="right" vertical="center" wrapText="1"/>
    </xf>
    <xf numFmtId="0" fontId="86" fillId="61" borderId="19" xfId="0" applyFont="1" applyFill="1" applyBorder="1" applyAlignment="1">
      <alignment horizontal="right" vertical="center" wrapText="1"/>
    </xf>
    <xf numFmtId="0" fontId="41" fillId="56" borderId="50" xfId="0" applyFont="1" applyFill="1" applyBorder="1" applyAlignment="1">
      <alignment vertical="center"/>
    </xf>
    <xf numFmtId="0" fontId="41" fillId="56" borderId="51" xfId="0" applyFont="1" applyFill="1" applyBorder="1" applyAlignment="1">
      <alignment vertical="center"/>
    </xf>
    <xf numFmtId="0" fontId="41" fillId="56" borderId="19" xfId="0" applyFont="1" applyFill="1" applyBorder="1" applyAlignment="1">
      <alignment vertical="center"/>
    </xf>
    <xf numFmtId="0" fontId="83" fillId="60" borderId="70" xfId="0" applyFont="1" applyFill="1" applyBorder="1" applyAlignment="1">
      <alignment horizontal="center" vertical="center" wrapText="1"/>
    </xf>
    <xf numFmtId="0" fontId="46" fillId="0" borderId="84" xfId="0" applyFont="1" applyBorder="1" applyAlignment="1">
      <alignment horizontal="left"/>
    </xf>
  </cellXfs>
  <cellStyles count="87">
    <cellStyle name="20% - Èmfasi1" xfId="28" builtinId="30" customBuiltin="1"/>
    <cellStyle name="20% - Èmfasi2" xfId="32" builtinId="34" customBuiltin="1"/>
    <cellStyle name="20% - Èmfasi3" xfId="36" builtinId="38" customBuiltin="1"/>
    <cellStyle name="20% - Èmfasi4" xfId="40" builtinId="42" customBuiltin="1"/>
    <cellStyle name="20% - Èmfasi5" xfId="44" builtinId="46" customBuiltin="1"/>
    <cellStyle name="20% - Èmfasi6" xfId="48" builtinId="50" customBuiltin="1"/>
    <cellStyle name="20% - Énfasis1 2" xfId="56" xr:uid="{00000000-0005-0000-0000-000001000000}"/>
    <cellStyle name="20% - Énfasis2 2" xfId="59" xr:uid="{00000000-0005-0000-0000-000003000000}"/>
    <cellStyle name="20% - Énfasis3 2" xfId="62" xr:uid="{00000000-0005-0000-0000-000005000000}"/>
    <cellStyle name="20% - Énfasis4 2" xfId="65" xr:uid="{00000000-0005-0000-0000-000007000000}"/>
    <cellStyle name="20% - Énfasis5 2" xfId="68" xr:uid="{00000000-0005-0000-0000-000009000000}"/>
    <cellStyle name="20% - Énfasis6 2" xfId="71" xr:uid="{00000000-0005-0000-0000-00000B000000}"/>
    <cellStyle name="40% - Èmfasi1" xfId="29" builtinId="31" customBuiltin="1"/>
    <cellStyle name="40% - Èmfasi2" xfId="33" builtinId="35" customBuiltin="1"/>
    <cellStyle name="40% - Èmfasi3" xfId="37" builtinId="39" customBuiltin="1"/>
    <cellStyle name="40% - Èmfasi4" xfId="41" builtinId="43" customBuiltin="1"/>
    <cellStyle name="40% - Èmfasi5" xfId="45" builtinId="47" customBuiltin="1"/>
    <cellStyle name="40% - Èmfasi6" xfId="49" builtinId="51" customBuiltin="1"/>
    <cellStyle name="40% - Énfasis1 2" xfId="57" xr:uid="{00000000-0005-0000-0000-00000D000000}"/>
    <cellStyle name="40% - Énfasis2 2" xfId="60" xr:uid="{00000000-0005-0000-0000-00000F000000}"/>
    <cellStyle name="40% - Énfasis3 2" xfId="63" xr:uid="{00000000-0005-0000-0000-000011000000}"/>
    <cellStyle name="40% - Énfasis4 2" xfId="66" xr:uid="{00000000-0005-0000-0000-000013000000}"/>
    <cellStyle name="40% - Énfasis5 2" xfId="69" xr:uid="{00000000-0005-0000-0000-000015000000}"/>
    <cellStyle name="40% - Énfasis6 2" xfId="72" xr:uid="{00000000-0005-0000-0000-000017000000}"/>
    <cellStyle name="60% - Èmfasi1" xfId="30" builtinId="32" customBuiltin="1"/>
    <cellStyle name="60% - Èmfasi2" xfId="34" builtinId="36" customBuiltin="1"/>
    <cellStyle name="60% - Èmfasi3" xfId="38" builtinId="40" customBuiltin="1"/>
    <cellStyle name="60% - Èmfasi4" xfId="42" builtinId="44" customBuiltin="1"/>
    <cellStyle name="60% - Èmfasi5" xfId="46" builtinId="48" customBuiltin="1"/>
    <cellStyle name="60% - Èmfasi6" xfId="50" builtinId="52" customBuiltin="1"/>
    <cellStyle name="60% - Énfasis1 2" xfId="58" xr:uid="{00000000-0005-0000-0000-000019000000}"/>
    <cellStyle name="60% - Énfasis2 2" xfId="61" xr:uid="{00000000-0005-0000-0000-00001B000000}"/>
    <cellStyle name="60% - Énfasis3 2" xfId="64" xr:uid="{00000000-0005-0000-0000-00001D000000}"/>
    <cellStyle name="60% - Énfasis4 2" xfId="67" xr:uid="{00000000-0005-0000-0000-00001F000000}"/>
    <cellStyle name="60% - Énfasis5 2" xfId="70" xr:uid="{00000000-0005-0000-0000-000021000000}"/>
    <cellStyle name="60% - Énfasis6 2" xfId="73" xr:uid="{00000000-0005-0000-0000-000023000000}"/>
    <cellStyle name="Bé" xfId="16" builtinId="26" customBuiltin="1"/>
    <cellStyle name="Càlcul" xfId="21" builtinId="22" customBuiltin="1"/>
    <cellStyle name="Cel·la de comprovació" xfId="23" builtinId="23" customBuiltin="1"/>
    <cellStyle name="Cel·la enllaçada" xfId="22" builtinId="24" customBuiltin="1"/>
    <cellStyle name="Èmfasi1" xfId="27" builtinId="29" customBuiltin="1"/>
    <cellStyle name="Èmfasi2" xfId="31" builtinId="33" customBuiltin="1"/>
    <cellStyle name="Èmfasi3" xfId="35" builtinId="37" customBuiltin="1"/>
    <cellStyle name="Èmfasi4" xfId="39" builtinId="41" customBuiltin="1"/>
    <cellStyle name="Èmfasi5" xfId="43" builtinId="45" customBuiltin="1"/>
    <cellStyle name="Èmfasi6" xfId="47" builtinId="49" customBuiltin="1"/>
    <cellStyle name="Entrada" xfId="19" builtinId="20" customBuiltin="1"/>
    <cellStyle name="Incorrecte" xfId="17" builtinId="27" customBuiltin="1"/>
    <cellStyle name="Moneda" xfId="80" builtinId="4"/>
    <cellStyle name="Moneda 2" xfId="8" xr:uid="{00000000-0005-0000-0000-000032000000}"/>
    <cellStyle name="Moneda 3" xfId="77" xr:uid="{00000000-0005-0000-0000-000033000000}"/>
    <cellStyle name="Moneda 4" xfId="81" xr:uid="{00000000-0005-0000-0000-000034000000}"/>
    <cellStyle name="Moneda 5" xfId="85" xr:uid="{00000000-0005-0000-0000-000035000000}"/>
    <cellStyle name="Neutral" xfId="18" builtinId="28" customBuiltin="1"/>
    <cellStyle name="Normal" xfId="0" builtinId="0"/>
    <cellStyle name="Normal 10" xfId="84" xr:uid="{00000000-0005-0000-0000-000038000000}"/>
    <cellStyle name="Normal 2" xfId="2" xr:uid="{00000000-0005-0000-0000-000039000000}"/>
    <cellStyle name="Normal 2 2" xfId="86" xr:uid="{00000000-0005-0000-0000-00003A000000}"/>
    <cellStyle name="Normal 3" xfId="4" xr:uid="{00000000-0005-0000-0000-00003B000000}"/>
    <cellStyle name="Normal 3 2" xfId="6" xr:uid="{00000000-0005-0000-0000-00003C000000}"/>
    <cellStyle name="Normal 3 2 2" xfId="76" xr:uid="{00000000-0005-0000-0000-00003D000000}"/>
    <cellStyle name="Normal 4" xfId="3" xr:uid="{00000000-0005-0000-0000-00003E000000}"/>
    <cellStyle name="Normal 5" xfId="5" xr:uid="{00000000-0005-0000-0000-00003F000000}"/>
    <cellStyle name="Normal 5 2" xfId="75" xr:uid="{00000000-0005-0000-0000-000040000000}"/>
    <cellStyle name="Normal 6" xfId="9" xr:uid="{00000000-0005-0000-0000-000041000000}"/>
    <cellStyle name="Normal 7" xfId="10" xr:uid="{00000000-0005-0000-0000-000042000000}"/>
    <cellStyle name="Normal 8" xfId="51" xr:uid="{00000000-0005-0000-0000-000043000000}"/>
    <cellStyle name="Normal 8 2" xfId="79" xr:uid="{00000000-0005-0000-0000-000044000000}"/>
    <cellStyle name="Normal 8 3" xfId="83" xr:uid="{00000000-0005-0000-0000-000045000000}"/>
    <cellStyle name="Normal 9" xfId="54" xr:uid="{00000000-0005-0000-0000-000046000000}"/>
    <cellStyle name="Normal 9 2" xfId="78" xr:uid="{00000000-0005-0000-0000-000047000000}"/>
    <cellStyle name="Normal 9 3" xfId="82" xr:uid="{00000000-0005-0000-0000-000048000000}"/>
    <cellStyle name="Notas 2" xfId="52" xr:uid="{00000000-0005-0000-0000-000049000000}"/>
    <cellStyle name="Notas 3" xfId="55" xr:uid="{00000000-0005-0000-0000-00004A000000}"/>
    <cellStyle name="Percentatge" xfId="1" builtinId="5"/>
    <cellStyle name="Porcentaje 2" xfId="7" xr:uid="{00000000-0005-0000-0000-00004C000000}"/>
    <cellStyle name="Porcentaje 3" xfId="53" xr:uid="{00000000-0005-0000-0000-00004D000000}"/>
    <cellStyle name="Porcentaje 4" xfId="74" xr:uid="{00000000-0005-0000-0000-00004E000000}"/>
    <cellStyle name="Resultat" xfId="20" builtinId="21" customBuiltin="1"/>
    <cellStyle name="Text d'advertiment" xfId="24" builtinId="11" customBuiltin="1"/>
    <cellStyle name="Text explicatiu" xfId="25" builtinId="53" customBuiltin="1"/>
    <cellStyle name="Títol" xfId="11" builtinId="15" customBuiltin="1"/>
    <cellStyle name="Títol 1" xfId="12" builtinId="16" customBuiltin="1"/>
    <cellStyle name="Títol 2" xfId="13" builtinId="17" customBuiltin="1"/>
    <cellStyle name="Títol 3" xfId="14" builtinId="18" customBuiltin="1"/>
    <cellStyle name="Títol 4" xfId="15" builtinId="19" customBuiltin="1"/>
    <cellStyle name="Total" xfId="26" builtinId="25" customBuiltin="1"/>
  </cellStyles>
  <dxfs count="2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499984740745262"/>
    <pageSetUpPr fitToPage="1"/>
  </sheetPr>
  <dimension ref="A1:S11"/>
  <sheetViews>
    <sheetView tabSelected="1" zoomScale="90" zoomScaleNormal="90" workbookViewId="0">
      <selection activeCell="B27" sqref="B27"/>
    </sheetView>
  </sheetViews>
  <sheetFormatPr defaultColWidth="11.42578125" defaultRowHeight="12.75"/>
  <cols>
    <col min="1" max="1" width="23.85546875" style="197" customWidth="1"/>
    <col min="2" max="2" width="52.42578125" style="197" bestFit="1" customWidth="1"/>
    <col min="3" max="3" width="16.42578125" style="197" customWidth="1"/>
    <col min="4" max="4" width="15.42578125" style="197" customWidth="1"/>
    <col min="5" max="5" width="13.85546875" style="197" customWidth="1"/>
    <col min="6" max="6" width="15" style="197" customWidth="1"/>
    <col min="7" max="7" width="15.140625" style="197" customWidth="1"/>
    <col min="8" max="8" width="14.85546875" style="197" customWidth="1"/>
    <col min="9" max="10" width="14.5703125" style="197" customWidth="1"/>
    <col min="11" max="11" width="15" style="197" customWidth="1"/>
    <col min="12" max="12" width="13" style="197" customWidth="1"/>
    <col min="13" max="13" width="13.42578125" style="197" customWidth="1"/>
    <col min="14" max="14" width="14.5703125" style="197" customWidth="1"/>
    <col min="15" max="15" width="13.5703125" style="197" customWidth="1"/>
    <col min="16" max="16" width="15.42578125" style="197" customWidth="1"/>
    <col min="17" max="17" width="13.5703125" style="197" customWidth="1"/>
    <col min="18" max="18" width="15.140625" style="323" customWidth="1"/>
    <col min="19" max="19" width="21.5703125" style="323" customWidth="1"/>
    <col min="20" max="20" width="14.5703125" style="323" customWidth="1"/>
    <col min="21" max="21" width="13.85546875" style="323" customWidth="1"/>
    <col min="22" max="16384" width="11.42578125" style="323"/>
  </cols>
  <sheetData>
    <row r="1" spans="1:19" ht="12.75" customHeight="1">
      <c r="A1" s="325"/>
      <c r="B1" s="326"/>
      <c r="C1" s="327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4"/>
    </row>
    <row r="3" spans="1:19" ht="18">
      <c r="A3" s="474" t="s">
        <v>382</v>
      </c>
      <c r="B3" s="475"/>
      <c r="C3" s="469" t="s">
        <v>14</v>
      </c>
    </row>
    <row r="4" spans="1:19">
      <c r="A4" s="476" t="s">
        <v>237</v>
      </c>
      <c r="B4" s="470" t="s">
        <v>239</v>
      </c>
      <c r="C4" s="471">
        <v>-2470430</v>
      </c>
    </row>
    <row r="5" spans="1:19">
      <c r="A5" s="476"/>
      <c r="B5" s="470" t="s">
        <v>337</v>
      </c>
      <c r="C5" s="471">
        <v>-82018.276000000013</v>
      </c>
    </row>
    <row r="6" spans="1:19" ht="15.6" customHeight="1">
      <c r="A6" s="476"/>
      <c r="B6" s="470" t="s">
        <v>240</v>
      </c>
      <c r="C6" s="471">
        <v>-135699.66000000003</v>
      </c>
    </row>
    <row r="7" spans="1:19" ht="15.6" customHeight="1">
      <c r="A7" s="476"/>
      <c r="B7" s="470" t="s">
        <v>383</v>
      </c>
      <c r="C7" s="471">
        <v>-130000</v>
      </c>
    </row>
    <row r="8" spans="1:19">
      <c r="A8" s="476"/>
      <c r="B8" s="470" t="s">
        <v>241</v>
      </c>
      <c r="C8" s="471">
        <v>-146767.96239999999</v>
      </c>
    </row>
    <row r="9" spans="1:19">
      <c r="A9" s="476"/>
      <c r="B9" s="470" t="s">
        <v>242</v>
      </c>
      <c r="C9" s="471">
        <v>-602550.9</v>
      </c>
    </row>
    <row r="10" spans="1:19">
      <c r="A10" s="476"/>
      <c r="B10" s="470" t="s">
        <v>262</v>
      </c>
      <c r="C10" s="471">
        <v>-96998.571700646062</v>
      </c>
    </row>
    <row r="11" spans="1:19">
      <c r="A11" s="476"/>
      <c r="B11" s="472" t="s">
        <v>238</v>
      </c>
      <c r="C11" s="473">
        <v>-3664465.3701006463</v>
      </c>
    </row>
  </sheetData>
  <sheetProtection sheet="1" objects="1" scenarios="1"/>
  <mergeCells count="2">
    <mergeCell ref="A3:B3"/>
    <mergeCell ref="A4:A11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499984740745262"/>
    <pageSetUpPr fitToPage="1"/>
  </sheetPr>
  <dimension ref="A2:E47"/>
  <sheetViews>
    <sheetView zoomScale="90" zoomScaleNormal="90" workbookViewId="0">
      <selection activeCell="G26" sqref="G26"/>
    </sheetView>
  </sheetViews>
  <sheetFormatPr defaultColWidth="11.5703125" defaultRowHeight="12.75"/>
  <cols>
    <col min="1" max="1" width="25.5703125" style="197" bestFit="1" customWidth="1"/>
    <col min="2" max="5" width="20.7109375" style="197" customWidth="1"/>
    <col min="6" max="6" width="15" style="197" customWidth="1"/>
    <col min="7" max="7" width="15.140625" style="197" customWidth="1"/>
    <col min="8" max="8" width="14.85546875" style="197" customWidth="1"/>
    <col min="9" max="9" width="14.5703125" style="197" bestFit="1" customWidth="1"/>
    <col min="10" max="10" width="14.5703125" style="197" customWidth="1"/>
    <col min="11" max="11" width="13" style="197" customWidth="1"/>
    <col min="12" max="12" width="13.42578125" style="197" customWidth="1"/>
    <col min="13" max="13" width="14.5703125" style="197" customWidth="1"/>
    <col min="14" max="14" width="13.5703125" style="197" customWidth="1"/>
    <col min="15" max="15" width="15.42578125" style="197" customWidth="1"/>
    <col min="16" max="16" width="13.5703125" style="197" customWidth="1"/>
    <col min="17" max="17" width="15.140625" style="197" customWidth="1"/>
    <col min="18" max="18" width="21.5703125" style="197" customWidth="1"/>
    <col min="19" max="19" width="14.5703125" style="197" customWidth="1"/>
    <col min="20" max="20" width="13.85546875" style="197" customWidth="1"/>
    <col min="21" max="21" width="13.140625" style="197" customWidth="1"/>
    <col min="22" max="22" width="13.42578125" style="197" customWidth="1"/>
    <col min="23" max="23" width="13" style="197" bestFit="1" customWidth="1"/>
    <col min="24" max="16384" width="11.5703125" style="197"/>
  </cols>
  <sheetData>
    <row r="2" spans="1:5" ht="13.5" thickBot="1"/>
    <row r="3" spans="1:5" ht="24.75" thickBot="1">
      <c r="A3" s="457" t="s">
        <v>384</v>
      </c>
      <c r="B3" s="458" t="s">
        <v>0</v>
      </c>
      <c r="C3" s="458" t="s">
        <v>1</v>
      </c>
      <c r="D3" s="458" t="s">
        <v>2</v>
      </c>
      <c r="E3" s="458" t="s">
        <v>12</v>
      </c>
    </row>
    <row r="4" spans="1:5" ht="13.5" thickBot="1">
      <c r="A4" s="426" t="s">
        <v>243</v>
      </c>
      <c r="B4" s="427">
        <v>-4039.42</v>
      </c>
      <c r="C4" s="427">
        <v>-20451.574000000001</v>
      </c>
      <c r="D4" s="427">
        <v>-6350.0800000000008</v>
      </c>
      <c r="E4" s="427">
        <v>-3276.9990000000003</v>
      </c>
    </row>
    <row r="5" spans="1:5" ht="13.5" thickBot="1">
      <c r="A5" s="426" t="s">
        <v>244</v>
      </c>
      <c r="B5" s="427">
        <v>0</v>
      </c>
      <c r="C5" s="427">
        <v>-35310.83</v>
      </c>
      <c r="D5" s="427">
        <v>0</v>
      </c>
      <c r="E5" s="427">
        <v>0</v>
      </c>
    </row>
    <row r="6" spans="1:5" ht="13.5" thickBot="1">
      <c r="A6" s="426" t="s">
        <v>245</v>
      </c>
      <c r="B6" s="427">
        <v>0</v>
      </c>
      <c r="C6" s="427">
        <v>-1798.3680000000002</v>
      </c>
      <c r="D6" s="427">
        <v>0</v>
      </c>
      <c r="E6" s="427">
        <v>0</v>
      </c>
    </row>
    <row r="7" spans="1:5" ht="13.5" thickBot="1">
      <c r="A7" s="426" t="s">
        <v>246</v>
      </c>
      <c r="B7" s="427">
        <v>-1072.28</v>
      </c>
      <c r="C7" s="427">
        <v>-3819.18</v>
      </c>
      <c r="D7" s="427">
        <v>-1321.98</v>
      </c>
      <c r="E7" s="427">
        <v>-525.72</v>
      </c>
    </row>
    <row r="8" spans="1:5" ht="13.5" thickBot="1">
      <c r="A8" s="426" t="s">
        <v>247</v>
      </c>
      <c r="B8" s="427">
        <v>0</v>
      </c>
      <c r="C8" s="427">
        <v>-44780.29</v>
      </c>
      <c r="D8" s="427">
        <v>-15740.51</v>
      </c>
      <c r="E8" s="427">
        <v>-4336.8900000000003</v>
      </c>
    </row>
    <row r="9" spans="1:5" ht="13.5" thickBot="1">
      <c r="A9" s="426" t="s">
        <v>344</v>
      </c>
      <c r="B9" s="427">
        <v>0</v>
      </c>
      <c r="C9" s="427">
        <v>0</v>
      </c>
      <c r="D9" s="427">
        <v>0</v>
      </c>
      <c r="E9" s="427">
        <v>-3525.12</v>
      </c>
    </row>
    <row r="10" spans="1:5" ht="13.5" thickBot="1">
      <c r="A10" s="428" t="s">
        <v>248</v>
      </c>
      <c r="B10" s="427">
        <v>0</v>
      </c>
      <c r="C10" s="427">
        <v>0</v>
      </c>
      <c r="D10" s="427">
        <v>0</v>
      </c>
      <c r="E10" s="427">
        <v>0</v>
      </c>
    </row>
    <row r="11" spans="1:5" ht="24.75" thickBot="1">
      <c r="A11" s="429" t="s">
        <v>250</v>
      </c>
      <c r="B11" s="427">
        <v>0</v>
      </c>
      <c r="C11" s="427">
        <v>-8789.0400000000009</v>
      </c>
      <c r="D11" s="427">
        <v>-600</v>
      </c>
      <c r="E11" s="427">
        <v>0</v>
      </c>
    </row>
    <row r="12" spans="1:5" ht="13.5" thickBot="1">
      <c r="A12" s="430" t="s">
        <v>249</v>
      </c>
      <c r="B12" s="431">
        <v>-5111.7</v>
      </c>
      <c r="C12" s="431">
        <v>-114949.28200000001</v>
      </c>
      <c r="D12" s="431">
        <v>-24012.57</v>
      </c>
      <c r="E12" s="431">
        <v>-11664.728999999999</v>
      </c>
    </row>
    <row r="13" spans="1:5">
      <c r="A13" s="133"/>
      <c r="B13" s="133"/>
      <c r="C13" s="133"/>
      <c r="D13" s="133"/>
      <c r="E13" s="133"/>
    </row>
    <row r="14" spans="1:5" ht="13.5" thickBot="1">
      <c r="A14" s="133"/>
      <c r="B14" s="133"/>
      <c r="C14" s="133"/>
      <c r="D14" s="133"/>
      <c r="E14" s="133"/>
    </row>
    <row r="15" spans="1:5" ht="24.75" thickBot="1">
      <c r="A15" s="457" t="s">
        <v>384</v>
      </c>
      <c r="B15" s="458" t="s">
        <v>107</v>
      </c>
      <c r="C15" s="458" t="s">
        <v>4</v>
      </c>
      <c r="D15" s="459" t="s">
        <v>5</v>
      </c>
      <c r="E15" s="458" t="s">
        <v>6</v>
      </c>
    </row>
    <row r="16" spans="1:5" ht="13.5" thickBot="1">
      <c r="A16" s="426" t="s">
        <v>243</v>
      </c>
      <c r="B16" s="427">
        <v>-4261.4000000000005</v>
      </c>
      <c r="C16" s="427">
        <v>-4578.42</v>
      </c>
      <c r="D16" s="427">
        <v>-14988.501</v>
      </c>
      <c r="E16" s="427">
        <v>-2800.2919999999999</v>
      </c>
    </row>
    <row r="17" spans="1:5" ht="13.5" thickBot="1">
      <c r="A17" s="426" t="s">
        <v>244</v>
      </c>
      <c r="B17" s="427">
        <v>-6000</v>
      </c>
      <c r="C17" s="427">
        <v>-1600</v>
      </c>
      <c r="D17" s="427">
        <v>0</v>
      </c>
      <c r="E17" s="427">
        <v>0</v>
      </c>
    </row>
    <row r="18" spans="1:5" ht="13.5" thickBot="1">
      <c r="A18" s="426" t="s">
        <v>245</v>
      </c>
      <c r="B18" s="427">
        <v>-1489.7080000000001</v>
      </c>
      <c r="C18" s="427">
        <v>-268.334</v>
      </c>
      <c r="D18" s="427">
        <v>0</v>
      </c>
      <c r="E18" s="427">
        <v>0</v>
      </c>
    </row>
    <row r="19" spans="1:5" ht="13.5" thickBot="1">
      <c r="A19" s="426" t="s">
        <v>246</v>
      </c>
      <c r="B19" s="427">
        <v>-1217</v>
      </c>
      <c r="C19" s="427">
        <v>-722.44</v>
      </c>
      <c r="D19" s="427">
        <v>-3674.84</v>
      </c>
      <c r="E19" s="427">
        <v>-410.38</v>
      </c>
    </row>
    <row r="20" spans="1:5" ht="13.5" thickBot="1">
      <c r="A20" s="426" t="s">
        <v>247</v>
      </c>
      <c r="B20" s="427">
        <v>-2677.1024999999995</v>
      </c>
      <c r="C20" s="427">
        <v>-7358.98</v>
      </c>
      <c r="D20" s="427">
        <v>-9887.9599999999991</v>
      </c>
      <c r="E20" s="427">
        <v>-2379.23</v>
      </c>
    </row>
    <row r="21" spans="1:5" ht="13.5" thickBot="1">
      <c r="A21" s="426" t="s">
        <v>344</v>
      </c>
      <c r="B21" s="427">
        <v>-3525.12</v>
      </c>
      <c r="C21" s="427">
        <v>-1175.04</v>
      </c>
      <c r="D21" s="427">
        <v>-4524</v>
      </c>
      <c r="E21" s="427">
        <v>0</v>
      </c>
    </row>
    <row r="22" spans="1:5" ht="13.5" thickBot="1">
      <c r="A22" s="426" t="s">
        <v>248</v>
      </c>
      <c r="B22" s="427">
        <v>0</v>
      </c>
      <c r="C22" s="427">
        <v>0</v>
      </c>
      <c r="D22" s="427">
        <v>0</v>
      </c>
      <c r="E22" s="427">
        <v>0</v>
      </c>
    </row>
    <row r="23" spans="1:5" ht="24.75" thickBot="1">
      <c r="A23" s="429" t="s">
        <v>250</v>
      </c>
      <c r="B23" s="427">
        <v>0</v>
      </c>
      <c r="C23" s="427">
        <v>-524.12</v>
      </c>
      <c r="D23" s="427">
        <v>2774</v>
      </c>
      <c r="E23" s="427">
        <v>-185.6</v>
      </c>
    </row>
    <row r="24" spans="1:5" ht="13.5" thickBot="1">
      <c r="A24" s="430" t="s">
        <v>249</v>
      </c>
      <c r="B24" s="431">
        <v>-19170.3305</v>
      </c>
      <c r="C24" s="431">
        <v>-16227.334000000001</v>
      </c>
      <c r="D24" s="431">
        <v>-30301.300999999999</v>
      </c>
      <c r="E24" s="431">
        <v>-5775.5020000000004</v>
      </c>
    </row>
    <row r="25" spans="1:5">
      <c r="A25" s="133"/>
      <c r="B25" s="133"/>
      <c r="C25" s="133"/>
      <c r="D25" s="133"/>
      <c r="E25" s="133"/>
    </row>
    <row r="26" spans="1:5" ht="24.75" thickBot="1">
      <c r="A26" s="460" t="s">
        <v>384</v>
      </c>
      <c r="B26" s="461" t="s">
        <v>8</v>
      </c>
      <c r="C26" s="461" t="s">
        <v>371</v>
      </c>
      <c r="D26" s="462" t="s">
        <v>9</v>
      </c>
      <c r="E26" s="462" t="s">
        <v>10</v>
      </c>
    </row>
    <row r="27" spans="1:5" ht="13.5" thickBot="1">
      <c r="A27" s="426" t="s">
        <v>243</v>
      </c>
      <c r="B27" s="427">
        <v>-17738.622000000003</v>
      </c>
      <c r="C27" s="427">
        <v>-2373.6460000000002</v>
      </c>
      <c r="D27" s="427">
        <v>0</v>
      </c>
      <c r="E27" s="427">
        <v>-3198.3490000000006</v>
      </c>
    </row>
    <row r="28" spans="1:5" ht="13.5" thickBot="1">
      <c r="A28" s="426" t="s">
        <v>244</v>
      </c>
      <c r="B28" s="427">
        <v>-7500.2400000000016</v>
      </c>
      <c r="C28" s="427">
        <v>0</v>
      </c>
      <c r="D28" s="427">
        <v>-18182.400000000001</v>
      </c>
      <c r="E28" s="427">
        <v>0</v>
      </c>
    </row>
    <row r="29" spans="1:5" ht="13.5" thickBot="1">
      <c r="A29" s="426" t="s">
        <v>245</v>
      </c>
      <c r="B29" s="427">
        <v>-740.21199999999999</v>
      </c>
      <c r="C29" s="427">
        <v>0</v>
      </c>
      <c r="D29" s="427">
        <v>-1793.5280000000002</v>
      </c>
      <c r="E29" s="427">
        <v>0</v>
      </c>
    </row>
    <row r="30" spans="1:5" ht="13.5" thickBot="1">
      <c r="A30" s="426" t="s">
        <v>246</v>
      </c>
      <c r="B30" s="427">
        <v>-3512.82</v>
      </c>
      <c r="C30" s="427">
        <v>0</v>
      </c>
      <c r="D30" s="427">
        <v>0</v>
      </c>
      <c r="E30" s="427">
        <v>-493.48</v>
      </c>
    </row>
    <row r="31" spans="1:5" ht="13.5" thickBot="1">
      <c r="A31" s="426" t="s">
        <v>247</v>
      </c>
      <c r="B31" s="427">
        <v>0</v>
      </c>
      <c r="C31" s="427">
        <v>-551.23</v>
      </c>
      <c r="D31" s="427">
        <v>-53234.59</v>
      </c>
      <c r="E31" s="427">
        <v>-2744.57</v>
      </c>
    </row>
    <row r="32" spans="1:5" ht="13.5" thickBot="1">
      <c r="A32" s="426" t="s">
        <v>344</v>
      </c>
      <c r="B32" s="427">
        <v>0</v>
      </c>
      <c r="C32" s="427">
        <v>0</v>
      </c>
      <c r="D32" s="427">
        <v>0</v>
      </c>
      <c r="E32" s="427">
        <v>0</v>
      </c>
    </row>
    <row r="33" spans="1:5" ht="13.5" thickBot="1">
      <c r="A33" s="426" t="s">
        <v>248</v>
      </c>
      <c r="B33" s="427">
        <v>0</v>
      </c>
      <c r="C33" s="427">
        <v>0</v>
      </c>
      <c r="D33" s="427">
        <v>0</v>
      </c>
      <c r="E33" s="427">
        <v>0</v>
      </c>
    </row>
    <row r="34" spans="1:5" ht="24.75" thickBot="1">
      <c r="A34" s="429" t="s">
        <v>250</v>
      </c>
      <c r="B34" s="427">
        <v>-6272.16</v>
      </c>
      <c r="C34" s="427">
        <v>0</v>
      </c>
      <c r="D34" s="427">
        <v>-2883.92</v>
      </c>
      <c r="E34" s="427">
        <v>0</v>
      </c>
    </row>
    <row r="35" spans="1:5" ht="13.5" thickBot="1">
      <c r="A35" s="430" t="s">
        <v>249</v>
      </c>
      <c r="B35" s="431">
        <v>-35764.054000000004</v>
      </c>
      <c r="C35" s="431">
        <v>-2924.8760000000002</v>
      </c>
      <c r="D35" s="431">
        <v>-76094.437999999995</v>
      </c>
      <c r="E35" s="431">
        <v>-6436.3990000000013</v>
      </c>
    </row>
    <row r="36" spans="1:5">
      <c r="A36" s="432"/>
      <c r="B36" s="432"/>
      <c r="C36" s="432"/>
      <c r="D36" s="432"/>
      <c r="E36" s="133"/>
    </row>
    <row r="37" spans="1:5" ht="13.5" thickBot="1">
      <c r="A37" s="133"/>
      <c r="B37" s="133"/>
      <c r="C37" s="133"/>
      <c r="D37" s="133"/>
      <c r="E37" s="133"/>
    </row>
    <row r="38" spans="1:5" ht="24.75" thickBot="1">
      <c r="A38" s="457" t="s">
        <v>384</v>
      </c>
      <c r="B38" s="458" t="s">
        <v>11</v>
      </c>
      <c r="C38" s="458" t="s">
        <v>108</v>
      </c>
      <c r="D38" s="463" t="s">
        <v>14</v>
      </c>
      <c r="E38" s="133"/>
    </row>
    <row r="39" spans="1:5" ht="13.5" thickBot="1">
      <c r="A39" s="426" t="s">
        <v>243</v>
      </c>
      <c r="B39" s="427">
        <v>-16923.940000000002</v>
      </c>
      <c r="C39" s="427">
        <v>-14999.797340000003</v>
      </c>
      <c r="D39" s="433">
        <v>-115981.04034000001</v>
      </c>
      <c r="E39" s="133"/>
    </row>
    <row r="40" spans="1:5" ht="13.5" thickBot="1">
      <c r="A40" s="426" t="s">
        <v>244</v>
      </c>
      <c r="B40" s="427">
        <v>-15909.600000000002</v>
      </c>
      <c r="C40" s="427">
        <v>-12590.970000000001</v>
      </c>
      <c r="D40" s="433">
        <v>-97094.040000000008</v>
      </c>
      <c r="E40" s="133"/>
    </row>
    <row r="41" spans="1:5" ht="13.5" thickBot="1">
      <c r="A41" s="426" t="s">
        <v>245</v>
      </c>
      <c r="B41" s="427">
        <v>-1704.1640000000002</v>
      </c>
      <c r="C41" s="427">
        <v>-935.85800000000006</v>
      </c>
      <c r="D41" s="433">
        <v>-8730.1720000000005</v>
      </c>
      <c r="E41" s="133"/>
    </row>
    <row r="42" spans="1:5" ht="13.5" thickBot="1">
      <c r="A42" s="426" t="s">
        <v>246</v>
      </c>
      <c r="B42" s="427">
        <v>-3340.42</v>
      </c>
      <c r="C42" s="427">
        <v>-1728.66</v>
      </c>
      <c r="D42" s="433">
        <v>-21839.200000000001</v>
      </c>
      <c r="E42" s="133"/>
    </row>
    <row r="43" spans="1:5" ht="13.5" thickBot="1">
      <c r="A43" s="426" t="s">
        <v>247</v>
      </c>
      <c r="B43" s="427">
        <v>-19010.955000000002</v>
      </c>
      <c r="C43" s="427">
        <v>-32280.160000000003</v>
      </c>
      <c r="D43" s="433">
        <v>-194982.4675</v>
      </c>
      <c r="E43" s="133"/>
    </row>
    <row r="44" spans="1:5" ht="13.5" thickBot="1">
      <c r="A44" s="426" t="s">
        <v>344</v>
      </c>
      <c r="B44" s="427">
        <v>0</v>
      </c>
      <c r="C44" s="427">
        <v>0</v>
      </c>
      <c r="D44" s="433">
        <v>-12749.279999999999</v>
      </c>
      <c r="E44" s="133"/>
    </row>
    <row r="45" spans="1:5" ht="13.5" thickBot="1">
      <c r="A45" s="426" t="s">
        <v>248</v>
      </c>
      <c r="B45" s="427">
        <v>0</v>
      </c>
      <c r="C45" s="427">
        <v>0</v>
      </c>
      <c r="D45" s="433">
        <v>0</v>
      </c>
      <c r="E45" s="133"/>
    </row>
    <row r="46" spans="1:5" ht="24.75" thickBot="1">
      <c r="A46" s="429" t="s">
        <v>250</v>
      </c>
      <c r="B46" s="427">
        <v>-4986.3999999999996</v>
      </c>
      <c r="C46" s="427">
        <v>-5989.58</v>
      </c>
      <c r="D46" s="433">
        <v>-27456.820000000007</v>
      </c>
      <c r="E46" s="133"/>
    </row>
    <row r="47" spans="1:5" ht="13.5" thickBot="1">
      <c r="A47" s="430" t="s">
        <v>249</v>
      </c>
      <c r="B47" s="431">
        <v>-61875.479000000007</v>
      </c>
      <c r="C47" s="431">
        <v>-68525.025340000007</v>
      </c>
      <c r="D47" s="431">
        <v>-478833.01983999996</v>
      </c>
      <c r="E47" s="133"/>
    </row>
  </sheetData>
  <sheetProtection sheet="1" objects="1" scenarios="1"/>
  <pageMargins left="0.7" right="0.7" top="0.75" bottom="0.75" header="0.3" footer="0.3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  <pageSetUpPr fitToPage="1"/>
  </sheetPr>
  <dimension ref="A1:B8"/>
  <sheetViews>
    <sheetView zoomScale="90" zoomScaleNormal="90" workbookViewId="0">
      <selection activeCell="B13" sqref="B13"/>
    </sheetView>
  </sheetViews>
  <sheetFormatPr defaultColWidth="11.5703125" defaultRowHeight="12.75"/>
  <cols>
    <col min="1" max="1" width="26.42578125" style="197" customWidth="1"/>
    <col min="2" max="2" width="27.42578125" style="197" customWidth="1"/>
    <col min="3" max="3" width="13.5703125" style="197" customWidth="1"/>
    <col min="4" max="4" width="15.140625" style="197" customWidth="1"/>
    <col min="5" max="5" width="21.5703125" style="197" customWidth="1"/>
    <col min="6" max="6" width="14.5703125" style="197" customWidth="1"/>
    <col min="7" max="7" width="13.85546875" style="197" customWidth="1"/>
    <col min="8" max="16384" width="11.5703125" style="197"/>
  </cols>
  <sheetData>
    <row r="1" spans="1:2" ht="13.5" thickBot="1"/>
    <row r="2" spans="1:2" ht="30.75" thickBot="1">
      <c r="A2" s="455" t="s">
        <v>385</v>
      </c>
      <c r="B2" s="456" t="s">
        <v>14</v>
      </c>
    </row>
    <row r="3" spans="1:2" ht="29.25" thickBot="1">
      <c r="A3" s="434" t="s">
        <v>251</v>
      </c>
      <c r="B3" s="435">
        <v>527689.18999999994</v>
      </c>
    </row>
    <row r="4" spans="1:2" ht="15" thickBot="1">
      <c r="A4" s="434" t="s">
        <v>252</v>
      </c>
      <c r="B4" s="435">
        <v>46461.47</v>
      </c>
    </row>
    <row r="5" spans="1:2" ht="29.25" thickBot="1">
      <c r="A5" s="434" t="s">
        <v>253</v>
      </c>
      <c r="B5" s="435">
        <v>34937.243000000002</v>
      </c>
    </row>
    <row r="6" spans="1:2" ht="29.25" thickBot="1">
      <c r="A6" s="434" t="s">
        <v>254</v>
      </c>
      <c r="B6" s="435">
        <v>369482.32200000004</v>
      </c>
    </row>
    <row r="7" spans="1:2" ht="29.25" thickBot="1">
      <c r="A7" s="434" t="s">
        <v>255</v>
      </c>
      <c r="B7" s="435">
        <v>62892.786000000007</v>
      </c>
    </row>
    <row r="8" spans="1:2" ht="15.75" thickBot="1">
      <c r="A8" s="436" t="s">
        <v>171</v>
      </c>
      <c r="B8" s="437">
        <v>1041463.0109999999</v>
      </c>
    </row>
  </sheetData>
  <sheetProtection sheet="1" objects="1" scenarios="1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499984740745262"/>
    <pageSetUpPr fitToPage="1"/>
  </sheetPr>
  <dimension ref="A1:GM9"/>
  <sheetViews>
    <sheetView workbookViewId="0">
      <selection activeCell="E7" sqref="E7"/>
    </sheetView>
  </sheetViews>
  <sheetFormatPr defaultColWidth="11.5703125" defaultRowHeight="12.75"/>
  <cols>
    <col min="1" max="1" width="17.5703125" style="197" customWidth="1"/>
    <col min="2" max="2" width="35.140625" style="197" customWidth="1"/>
    <col min="3" max="3" width="13.5703125" style="197" customWidth="1"/>
    <col min="4" max="4" width="15.140625" style="197" customWidth="1"/>
    <col min="5" max="5" width="21.5703125" style="197" customWidth="1"/>
    <col min="6" max="6" width="14.5703125" style="197" customWidth="1"/>
    <col min="7" max="16384" width="11.5703125" style="197"/>
  </cols>
  <sheetData>
    <row r="1" spans="1:195" ht="12.75" customHeight="1">
      <c r="A1" s="325"/>
      <c r="B1" s="326"/>
      <c r="C1" s="328"/>
      <c r="D1" s="328"/>
      <c r="E1" s="324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3"/>
      <c r="V1" s="323"/>
      <c r="W1" s="323"/>
      <c r="X1" s="323"/>
      <c r="Y1" s="323"/>
      <c r="Z1" s="323"/>
      <c r="AA1" s="323"/>
      <c r="AB1" s="323"/>
      <c r="AC1" s="323"/>
      <c r="AD1" s="323"/>
      <c r="AE1" s="323"/>
      <c r="AF1" s="323"/>
      <c r="AG1" s="323"/>
      <c r="AH1" s="323"/>
      <c r="AI1" s="323"/>
      <c r="AJ1" s="323"/>
      <c r="AK1" s="323"/>
      <c r="AL1" s="323"/>
      <c r="AM1" s="323"/>
      <c r="AN1" s="323"/>
      <c r="AO1" s="323"/>
      <c r="AP1" s="323"/>
      <c r="AQ1" s="323"/>
      <c r="AR1" s="323"/>
      <c r="AS1" s="323"/>
      <c r="AT1" s="323"/>
      <c r="AU1" s="323"/>
      <c r="AV1" s="323"/>
      <c r="AW1" s="323"/>
      <c r="AX1" s="323"/>
      <c r="AY1" s="323"/>
      <c r="AZ1" s="323"/>
      <c r="BA1" s="323"/>
      <c r="BB1" s="323"/>
      <c r="BC1" s="323"/>
      <c r="BD1" s="323"/>
      <c r="BE1" s="323"/>
      <c r="BF1" s="323"/>
      <c r="BG1" s="323"/>
      <c r="BH1" s="323"/>
      <c r="BI1" s="323"/>
      <c r="BJ1" s="323"/>
      <c r="BK1" s="323"/>
      <c r="BL1" s="323"/>
      <c r="BM1" s="323"/>
      <c r="BN1" s="323"/>
      <c r="BO1" s="323"/>
      <c r="BP1" s="323"/>
      <c r="BQ1" s="323"/>
      <c r="BR1" s="323"/>
      <c r="BS1" s="323"/>
      <c r="BT1" s="323"/>
      <c r="BU1" s="323"/>
      <c r="BV1" s="323"/>
      <c r="BW1" s="323"/>
      <c r="BX1" s="323"/>
      <c r="BY1" s="323"/>
      <c r="BZ1" s="323"/>
      <c r="CA1" s="323"/>
      <c r="CB1" s="323"/>
      <c r="CC1" s="323"/>
      <c r="CD1" s="323"/>
      <c r="CE1" s="323"/>
      <c r="CF1" s="323"/>
      <c r="CG1" s="323"/>
      <c r="CH1" s="323"/>
      <c r="CI1" s="323"/>
      <c r="CJ1" s="323"/>
      <c r="CK1" s="323"/>
      <c r="CL1" s="323"/>
      <c r="CM1" s="323"/>
      <c r="CN1" s="323"/>
      <c r="CO1" s="323"/>
      <c r="CP1" s="323"/>
      <c r="CQ1" s="323"/>
      <c r="CR1" s="323"/>
      <c r="CS1" s="323"/>
      <c r="CT1" s="323"/>
      <c r="CU1" s="323"/>
      <c r="CV1" s="323"/>
      <c r="CW1" s="323"/>
      <c r="CX1" s="323"/>
      <c r="CY1" s="323"/>
      <c r="CZ1" s="323"/>
      <c r="DA1" s="323"/>
      <c r="DB1" s="323"/>
      <c r="DC1" s="323"/>
      <c r="DD1" s="323"/>
      <c r="DE1" s="323"/>
      <c r="DF1" s="323"/>
      <c r="DG1" s="323"/>
      <c r="DH1" s="323"/>
      <c r="DI1" s="323"/>
      <c r="DJ1" s="323"/>
      <c r="DK1" s="323"/>
      <c r="DL1" s="323"/>
      <c r="DM1" s="323"/>
      <c r="DN1" s="323"/>
      <c r="DO1" s="323"/>
      <c r="DP1" s="323"/>
      <c r="DQ1" s="323"/>
      <c r="DR1" s="323"/>
      <c r="DS1" s="323"/>
      <c r="DT1" s="323"/>
      <c r="DU1" s="323"/>
      <c r="DV1" s="323"/>
      <c r="DW1" s="323"/>
      <c r="DX1" s="323"/>
      <c r="DY1" s="323"/>
      <c r="DZ1" s="323"/>
      <c r="EA1" s="323"/>
      <c r="EB1" s="323"/>
      <c r="EC1" s="323"/>
      <c r="ED1" s="323"/>
      <c r="EE1" s="323"/>
      <c r="EF1" s="323"/>
      <c r="EG1" s="323"/>
      <c r="EH1" s="323"/>
      <c r="EI1" s="323"/>
      <c r="EJ1" s="323"/>
      <c r="EK1" s="323"/>
      <c r="EL1" s="323"/>
      <c r="EM1" s="323"/>
      <c r="EN1" s="323"/>
      <c r="EO1" s="323"/>
      <c r="EP1" s="323"/>
      <c r="EQ1" s="323"/>
      <c r="ER1" s="323"/>
      <c r="ES1" s="323"/>
      <c r="ET1" s="323"/>
      <c r="EU1" s="323"/>
      <c r="EV1" s="323"/>
      <c r="EW1" s="323"/>
      <c r="EX1" s="323"/>
      <c r="EY1" s="323"/>
      <c r="EZ1" s="323"/>
      <c r="FA1" s="323"/>
      <c r="FB1" s="323"/>
      <c r="FC1" s="323"/>
      <c r="FD1" s="323"/>
      <c r="FE1" s="323"/>
      <c r="FF1" s="323"/>
      <c r="FG1" s="323"/>
      <c r="FH1" s="323"/>
      <c r="FI1" s="323"/>
      <c r="FJ1" s="323"/>
      <c r="FK1" s="323"/>
      <c r="FL1" s="323"/>
      <c r="FM1" s="323"/>
      <c r="FN1" s="323"/>
      <c r="FO1" s="323"/>
      <c r="FP1" s="323"/>
      <c r="FQ1" s="323"/>
      <c r="FR1" s="323"/>
      <c r="FS1" s="323"/>
      <c r="FT1" s="323"/>
      <c r="FU1" s="323"/>
      <c r="FV1" s="323"/>
      <c r="FW1" s="323"/>
      <c r="FX1" s="323"/>
      <c r="FY1" s="323"/>
      <c r="FZ1" s="323"/>
      <c r="GA1" s="323"/>
      <c r="GB1" s="323"/>
      <c r="GC1" s="323"/>
      <c r="GD1" s="323"/>
      <c r="GE1" s="323"/>
      <c r="GF1" s="323"/>
      <c r="GG1" s="323"/>
      <c r="GH1" s="323"/>
      <c r="GI1" s="323"/>
      <c r="GJ1" s="323"/>
      <c r="GK1" s="323"/>
      <c r="GL1" s="323"/>
      <c r="GM1" s="323"/>
    </row>
    <row r="3" spans="1:195" ht="20.25">
      <c r="A3" s="479" t="s">
        <v>386</v>
      </c>
      <c r="B3" s="480"/>
      <c r="C3" s="438" t="s">
        <v>14</v>
      </c>
    </row>
    <row r="4" spans="1:195" ht="15.75" customHeight="1">
      <c r="A4" s="481" t="s">
        <v>256</v>
      </c>
      <c r="B4" s="439" t="s">
        <v>322</v>
      </c>
      <c r="C4" s="425">
        <v>-3664465.3701006463</v>
      </c>
    </row>
    <row r="5" spans="1:195" ht="15.75" customHeight="1">
      <c r="A5" s="482"/>
      <c r="B5" s="202" t="s">
        <v>321</v>
      </c>
      <c r="C5" s="440">
        <v>1041463.0109999999</v>
      </c>
    </row>
    <row r="6" spans="1:195">
      <c r="A6" s="483"/>
      <c r="B6" s="441" t="s">
        <v>258</v>
      </c>
      <c r="C6" s="442">
        <v>-2623002.3591006463</v>
      </c>
    </row>
    <row r="7" spans="1:195" ht="17.25" customHeight="1">
      <c r="A7" s="484" t="s">
        <v>257</v>
      </c>
      <c r="B7" s="443" t="s">
        <v>259</v>
      </c>
      <c r="C7" s="440">
        <v>-478833.01983999996</v>
      </c>
    </row>
    <row r="8" spans="1:195" ht="17.25" customHeight="1">
      <c r="A8" s="485"/>
      <c r="B8" s="444" t="s">
        <v>249</v>
      </c>
      <c r="C8" s="445">
        <v>-478833.01983999996</v>
      </c>
    </row>
    <row r="9" spans="1:195" ht="15.75" customHeight="1">
      <c r="A9" s="446"/>
      <c r="B9" s="447" t="s">
        <v>260</v>
      </c>
      <c r="C9" s="448">
        <v>-3101835.3789406465</v>
      </c>
    </row>
  </sheetData>
  <sheetProtection sheet="1" objects="1" scenarios="1"/>
  <mergeCells count="3">
    <mergeCell ref="A3:B3"/>
    <mergeCell ref="A4:A6"/>
    <mergeCell ref="A7:A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-0.499984740745262"/>
    <pageSetUpPr fitToPage="1"/>
  </sheetPr>
  <dimension ref="A1:S69"/>
  <sheetViews>
    <sheetView workbookViewId="0">
      <selection activeCell="E45" sqref="E45"/>
    </sheetView>
  </sheetViews>
  <sheetFormatPr defaultColWidth="11.5703125" defaultRowHeight="12.75"/>
  <cols>
    <col min="1" max="1" width="42.5703125" style="133" bestFit="1" customWidth="1"/>
    <col min="2" max="2" width="7.140625" style="133" customWidth="1"/>
    <col min="3" max="3" width="20.5703125" style="133" customWidth="1"/>
    <col min="4" max="4" width="15.42578125" style="133" customWidth="1"/>
    <col min="5" max="5" width="13.85546875" style="133" customWidth="1"/>
    <col min="6" max="6" width="15" style="133" customWidth="1"/>
    <col min="7" max="7" width="15.140625" style="133" customWidth="1"/>
    <col min="8" max="8" width="14.85546875" style="133" customWidth="1"/>
    <col min="9" max="9" width="14.5703125" style="133" bestFit="1" customWidth="1"/>
    <col min="10" max="10" width="14.5703125" style="133" customWidth="1"/>
    <col min="11" max="11" width="15" style="133" customWidth="1"/>
    <col min="12" max="13" width="13" style="133" customWidth="1"/>
    <col min="14" max="14" width="13.42578125" style="133" customWidth="1"/>
    <col min="15" max="15" width="14.5703125" style="133" customWidth="1"/>
    <col min="16" max="16" width="19.85546875" style="133" customWidth="1"/>
    <col min="17" max="17" width="15.42578125" style="133" customWidth="1"/>
    <col min="18" max="18" width="17" style="133" customWidth="1"/>
    <col min="19" max="19" width="15.140625" style="133" customWidth="1"/>
    <col min="20" max="20" width="21.5703125" style="133" customWidth="1"/>
    <col min="21" max="21" width="14.5703125" style="133" customWidth="1"/>
    <col min="22" max="22" width="13.85546875" style="133" customWidth="1"/>
    <col min="23" max="23" width="13.140625" style="133" customWidth="1"/>
    <col min="24" max="24" width="13.42578125" style="133" customWidth="1"/>
    <col min="25" max="25" width="13" style="133" bestFit="1" customWidth="1"/>
    <col min="26" max="16384" width="11.5703125" style="133"/>
  </cols>
  <sheetData>
    <row r="1" spans="1:19" ht="12.75" customHeight="1" thickBot="1">
      <c r="A1" s="317"/>
      <c r="B1" s="85"/>
      <c r="C1" s="88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135"/>
    </row>
    <row r="2" spans="1:19" ht="12.75" customHeight="1" thickBot="1">
      <c r="A2" s="486" t="s">
        <v>163</v>
      </c>
      <c r="B2" s="487"/>
      <c r="C2" s="487"/>
      <c r="D2" s="105" t="s">
        <v>324</v>
      </c>
      <c r="E2" s="105" t="s">
        <v>325</v>
      </c>
      <c r="G2" s="103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135"/>
    </row>
    <row r="3" spans="1:19" ht="12.75" customHeight="1" thickBot="1">
      <c r="A3" s="488" t="s">
        <v>127</v>
      </c>
      <c r="B3" s="489"/>
      <c r="C3" s="489"/>
      <c r="D3" s="106">
        <v>167</v>
      </c>
      <c r="E3" s="106">
        <v>120</v>
      </c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135"/>
    </row>
    <row r="4" spans="1:19" ht="12.75" customHeight="1" thickBot="1">
      <c r="A4" s="104"/>
      <c r="B4" s="104"/>
      <c r="C4" s="104"/>
      <c r="D4" s="86" t="s">
        <v>32</v>
      </c>
      <c r="E4" s="86" t="s">
        <v>38</v>
      </c>
      <c r="F4" s="86" t="s">
        <v>37</v>
      </c>
      <c r="G4" s="86" t="s">
        <v>39</v>
      </c>
      <c r="H4" s="86" t="s">
        <v>40</v>
      </c>
      <c r="I4" s="86" t="s">
        <v>41</v>
      </c>
      <c r="J4" s="86" t="s">
        <v>42</v>
      </c>
      <c r="K4" s="86" t="s">
        <v>43</v>
      </c>
      <c r="L4" s="86" t="s">
        <v>44</v>
      </c>
      <c r="M4" s="86" t="s">
        <v>357</v>
      </c>
      <c r="N4" s="86" t="s">
        <v>45</v>
      </c>
      <c r="O4" s="86" t="s">
        <v>46</v>
      </c>
      <c r="P4" s="86" t="s">
        <v>47</v>
      </c>
      <c r="Q4" s="86" t="s">
        <v>48</v>
      </c>
      <c r="R4" s="86" t="s">
        <v>14</v>
      </c>
      <c r="S4" s="135"/>
    </row>
    <row r="5" spans="1:19" ht="12.75" customHeight="1">
      <c r="A5" s="107" t="s">
        <v>164</v>
      </c>
      <c r="B5" s="108"/>
      <c r="C5" s="108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10"/>
      <c r="S5" s="135"/>
    </row>
    <row r="6" spans="1:19" ht="12.75" customHeight="1" thickBot="1">
      <c r="A6" s="114" t="s">
        <v>126</v>
      </c>
      <c r="B6" s="115"/>
      <c r="C6" s="188"/>
      <c r="D6" s="188">
        <v>15.629298561151078</v>
      </c>
      <c r="E6" s="188">
        <v>46.350516935483874</v>
      </c>
      <c r="F6" s="188">
        <v>26.302428479381444</v>
      </c>
      <c r="G6" s="188">
        <v>48.842461330049254</v>
      </c>
      <c r="H6" s="188">
        <v>37.202696175799083</v>
      </c>
      <c r="I6" s="188">
        <v>26.07416616257089</v>
      </c>
      <c r="J6" s="188">
        <v>24.957466908914729</v>
      </c>
      <c r="K6" s="188">
        <v>29.048382840236687</v>
      </c>
      <c r="L6" s="188">
        <v>19.650579120879122</v>
      </c>
      <c r="M6" s="188">
        <v>30.693143209876546</v>
      </c>
      <c r="N6" s="188">
        <v>42.413293311475407</v>
      </c>
      <c r="O6" s="188">
        <v>23.683719264069268</v>
      </c>
      <c r="P6" s="188">
        <v>36.908180456140357</v>
      </c>
      <c r="Q6" s="188">
        <v>26.131122269627635</v>
      </c>
      <c r="R6" s="200">
        <v>31.877198219298243</v>
      </c>
      <c r="S6" s="135"/>
    </row>
    <row r="7" spans="1:19" ht="12.75" customHeight="1" thickBot="1">
      <c r="A7" s="490"/>
      <c r="B7" s="490"/>
      <c r="C7" s="490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135"/>
    </row>
    <row r="8" spans="1:19" ht="12.75" customHeight="1" thickBot="1">
      <c r="A8" s="116" t="s">
        <v>377</v>
      </c>
      <c r="B8" s="117"/>
      <c r="C8" s="117"/>
      <c r="D8" s="118">
        <v>182.62929856115107</v>
      </c>
      <c r="E8" s="118">
        <v>213.35051693548388</v>
      </c>
      <c r="F8" s="118">
        <v>193.30242847938143</v>
      </c>
      <c r="G8" s="118">
        <v>215.84246133004925</v>
      </c>
      <c r="H8" s="118">
        <v>204.20269617579908</v>
      </c>
      <c r="I8" s="118">
        <v>193.07416616257089</v>
      </c>
      <c r="J8" s="118">
        <v>191.95746690891474</v>
      </c>
      <c r="K8" s="118">
        <v>196.04838284023668</v>
      </c>
      <c r="L8" s="118">
        <v>186.65057912087912</v>
      </c>
      <c r="M8" s="118">
        <v>197.69314320987655</v>
      </c>
      <c r="N8" s="118">
        <v>209.4132933114754</v>
      </c>
      <c r="O8" s="118">
        <v>190.68371926406928</v>
      </c>
      <c r="P8" s="118">
        <v>203.90818045614037</v>
      </c>
      <c r="Q8" s="118">
        <v>193.13112226962764</v>
      </c>
      <c r="R8" s="119">
        <v>198.87719821929824</v>
      </c>
      <c r="S8" s="135"/>
    </row>
    <row r="9" spans="1:19" ht="12.75" customHeight="1" thickBot="1">
      <c r="A9" s="116" t="s">
        <v>378</v>
      </c>
      <c r="B9" s="117"/>
      <c r="C9" s="117"/>
      <c r="D9" s="118">
        <v>135.62929856115107</v>
      </c>
      <c r="E9" s="118">
        <v>166.35051693548388</v>
      </c>
      <c r="F9" s="118">
        <v>146.30242847938143</v>
      </c>
      <c r="G9" s="118">
        <v>168.84246133004925</v>
      </c>
      <c r="H9" s="118">
        <v>157.20269617579908</v>
      </c>
      <c r="I9" s="118">
        <v>146.07416616257089</v>
      </c>
      <c r="J9" s="118">
        <v>144.95746690891474</v>
      </c>
      <c r="K9" s="118">
        <v>149.04838284023668</v>
      </c>
      <c r="L9" s="118">
        <v>139.65057912087912</v>
      </c>
      <c r="M9" s="118">
        <v>150.69314320987655</v>
      </c>
      <c r="N9" s="118">
        <v>162.4132933114754</v>
      </c>
      <c r="O9" s="118">
        <v>143.68371926406928</v>
      </c>
      <c r="P9" s="118">
        <v>156.90818045614037</v>
      </c>
      <c r="Q9" s="118">
        <v>146.13112226962764</v>
      </c>
      <c r="R9" s="118">
        <v>151.87719821929824</v>
      </c>
      <c r="S9" s="135"/>
    </row>
    <row r="10" spans="1:19" ht="12.75" customHeight="1" thickBot="1">
      <c r="A10" s="317"/>
      <c r="B10" s="317"/>
      <c r="C10" s="317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135"/>
    </row>
    <row r="11" spans="1:19" ht="12.75" customHeight="1" thickBot="1">
      <c r="A11" s="116" t="s">
        <v>373</v>
      </c>
      <c r="B11" s="117"/>
      <c r="C11" s="117"/>
      <c r="D11" s="118">
        <v>182.62944838129496</v>
      </c>
      <c r="E11" s="118">
        <v>213.57400927419354</v>
      </c>
      <c r="F11" s="118">
        <v>181.16111172680411</v>
      </c>
      <c r="G11" s="118">
        <v>202.05994162561575</v>
      </c>
      <c r="H11" s="118">
        <v>214.65424343751414</v>
      </c>
      <c r="I11" s="118">
        <v>187.01677978808985</v>
      </c>
      <c r="J11" s="118">
        <v>191.95761516472868</v>
      </c>
      <c r="K11" s="118">
        <v>192.14915118343194</v>
      </c>
      <c r="L11" s="118">
        <v>185.99368867040619</v>
      </c>
      <c r="M11" s="118"/>
      <c r="N11" s="118">
        <v>198.07090737000343</v>
      </c>
      <c r="O11" s="118">
        <v>184.62590173160174</v>
      </c>
      <c r="P11" s="118">
        <v>203.9054618730475</v>
      </c>
      <c r="Q11" s="118">
        <v>188.27223159012249</v>
      </c>
      <c r="R11" s="119">
        <v>195.42584041191884</v>
      </c>
      <c r="S11" s="135"/>
    </row>
    <row r="12" spans="1:19" ht="12.75" customHeight="1" thickBot="1">
      <c r="A12" s="116" t="s">
        <v>374</v>
      </c>
      <c r="B12" s="117"/>
      <c r="C12" s="117"/>
      <c r="D12" s="118">
        <v>135.62944838129496</v>
      </c>
      <c r="E12" s="118">
        <v>166.57400927419354</v>
      </c>
      <c r="F12" s="118">
        <v>134.16111172680411</v>
      </c>
      <c r="G12" s="118">
        <v>155.05994162561575</v>
      </c>
      <c r="H12" s="118">
        <v>167.65424343751414</v>
      </c>
      <c r="I12" s="118">
        <v>140.01677978808985</v>
      </c>
      <c r="J12" s="118">
        <v>144.95761516472868</v>
      </c>
      <c r="K12" s="118">
        <v>145.14915118343194</v>
      </c>
      <c r="L12" s="118">
        <v>138.99368867040619</v>
      </c>
      <c r="M12" s="118"/>
      <c r="N12" s="118">
        <v>151.07090737000343</v>
      </c>
      <c r="O12" s="118">
        <v>137.62590173160174</v>
      </c>
      <c r="P12" s="118">
        <v>156.9054618730475</v>
      </c>
      <c r="Q12" s="118">
        <v>141.27223159012249</v>
      </c>
      <c r="R12" s="118">
        <v>148.42584041191884</v>
      </c>
      <c r="S12" s="135"/>
    </row>
    <row r="13" spans="1:19" ht="12.75" customHeight="1">
      <c r="A13" s="130" t="s">
        <v>375</v>
      </c>
      <c r="B13" s="412"/>
      <c r="C13" s="412"/>
      <c r="D13" s="86">
        <v>-1.4982014388920106E-4</v>
      </c>
      <c r="E13" s="86">
        <v>-0.22349233870966145</v>
      </c>
      <c r="F13" s="86">
        <v>12.141316752577325</v>
      </c>
      <c r="G13" s="86">
        <v>13.782519704433497</v>
      </c>
      <c r="H13" s="86">
        <v>-10.451547261715064</v>
      </c>
      <c r="I13" s="86">
        <v>6.057386374481041</v>
      </c>
      <c r="J13" s="86">
        <v>-1.4825581394006804E-4</v>
      </c>
      <c r="K13" s="86">
        <v>3.8992316568047443</v>
      </c>
      <c r="L13" s="86">
        <v>0.65689045047292893</v>
      </c>
      <c r="M13" s="86">
        <v>197.69314320987655</v>
      </c>
      <c r="N13" s="86">
        <v>11.342385941471974</v>
      </c>
      <c r="O13" s="86">
        <v>6.0578175324675385</v>
      </c>
      <c r="P13" s="86">
        <v>2.7185830928715404E-3</v>
      </c>
      <c r="Q13" s="86">
        <v>4.8588906795051514</v>
      </c>
      <c r="R13" s="86">
        <v>3.4513578073793951</v>
      </c>
      <c r="S13" s="135"/>
    </row>
    <row r="14" spans="1:19" ht="12.75" customHeight="1">
      <c r="A14" s="412"/>
      <c r="B14" s="412"/>
      <c r="C14" s="412"/>
      <c r="D14" s="86">
        <v>-1.4982014388920106E-4</v>
      </c>
      <c r="E14" s="86">
        <v>-0.22349233870966145</v>
      </c>
      <c r="F14" s="86">
        <v>12.141316752577325</v>
      </c>
      <c r="G14" s="86">
        <v>13.782519704433497</v>
      </c>
      <c r="H14" s="86">
        <v>-10.451547261715064</v>
      </c>
      <c r="I14" s="86">
        <v>6.057386374481041</v>
      </c>
      <c r="J14" s="86">
        <v>-1.4825581394006804E-4</v>
      </c>
      <c r="K14" s="86">
        <v>3.8992316568047443</v>
      </c>
      <c r="L14" s="86">
        <v>0.65689045047292893</v>
      </c>
      <c r="M14" s="86">
        <v>150.69314320987655</v>
      </c>
      <c r="N14" s="86">
        <v>11.342385941471974</v>
      </c>
      <c r="O14" s="86">
        <v>6.0578175324675385</v>
      </c>
      <c r="P14" s="86">
        <v>2.7185830928715404E-3</v>
      </c>
      <c r="Q14" s="86">
        <v>4.8588906795051514</v>
      </c>
      <c r="R14" s="86">
        <v>3.4513578073793951</v>
      </c>
      <c r="S14" s="135"/>
    </row>
    <row r="15" spans="1:19" ht="12.75" customHeight="1">
      <c r="A15" s="413"/>
      <c r="B15" s="413"/>
      <c r="C15" s="413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135"/>
    </row>
    <row r="16" spans="1:19" ht="12.75" customHeight="1">
      <c r="A16" s="130" t="s">
        <v>143</v>
      </c>
      <c r="B16" s="317"/>
      <c r="C16" s="317"/>
      <c r="D16" s="86" t="s">
        <v>32</v>
      </c>
      <c r="E16" s="86" t="s">
        <v>38</v>
      </c>
      <c r="F16" s="86" t="s">
        <v>37</v>
      </c>
      <c r="G16" s="86" t="s">
        <v>39</v>
      </c>
      <c r="H16" s="86" t="s">
        <v>40</v>
      </c>
      <c r="I16" s="86" t="s">
        <v>41</v>
      </c>
      <c r="J16" s="86" t="s">
        <v>42</v>
      </c>
      <c r="K16" s="86" t="s">
        <v>43</v>
      </c>
      <c r="L16" s="86" t="s">
        <v>44</v>
      </c>
      <c r="M16" s="86" t="s">
        <v>357</v>
      </c>
      <c r="N16" s="86" t="s">
        <v>45</v>
      </c>
      <c r="O16" s="86" t="s">
        <v>46</v>
      </c>
      <c r="P16" s="86" t="s">
        <v>47</v>
      </c>
      <c r="Q16" s="86" t="s">
        <v>48</v>
      </c>
      <c r="R16" s="86" t="s">
        <v>14</v>
      </c>
      <c r="S16" s="135"/>
    </row>
    <row r="17" spans="1:19">
      <c r="A17" s="339" t="s">
        <v>144</v>
      </c>
      <c r="C17" s="126"/>
      <c r="D17" s="134">
        <v>284</v>
      </c>
      <c r="E17" s="134">
        <v>2130</v>
      </c>
      <c r="F17" s="134">
        <v>789</v>
      </c>
      <c r="G17" s="134">
        <v>200</v>
      </c>
      <c r="H17" s="134">
        <v>432</v>
      </c>
      <c r="I17" s="134">
        <v>527</v>
      </c>
      <c r="J17" s="134">
        <v>1052</v>
      </c>
      <c r="K17" s="134">
        <v>153</v>
      </c>
      <c r="L17" s="134">
        <v>1579</v>
      </c>
      <c r="M17" s="134">
        <v>81</v>
      </c>
      <c r="N17" s="134">
        <v>1563</v>
      </c>
      <c r="O17" s="134">
        <v>230</v>
      </c>
      <c r="P17" s="134">
        <v>1410</v>
      </c>
      <c r="Q17" s="134">
        <v>2220</v>
      </c>
      <c r="R17" s="134">
        <v>12650</v>
      </c>
      <c r="S17" s="134"/>
    </row>
    <row r="18" spans="1:19">
      <c r="A18" s="339" t="s">
        <v>199</v>
      </c>
      <c r="C18" s="134"/>
      <c r="D18" s="134">
        <v>220</v>
      </c>
      <c r="E18" s="134">
        <v>1973</v>
      </c>
      <c r="F18" s="134">
        <v>718</v>
      </c>
      <c r="G18" s="134">
        <v>150</v>
      </c>
      <c r="H18" s="134">
        <v>404</v>
      </c>
      <c r="I18" s="134">
        <v>508</v>
      </c>
      <c r="J18" s="134">
        <v>955</v>
      </c>
      <c r="K18" s="134">
        <v>153</v>
      </c>
      <c r="L18" s="134">
        <v>1483</v>
      </c>
      <c r="M18" s="134">
        <v>81</v>
      </c>
      <c r="N18" s="134">
        <v>1294</v>
      </c>
      <c r="O18" s="134">
        <v>230</v>
      </c>
      <c r="P18" s="134">
        <v>1338</v>
      </c>
      <c r="Q18" s="134">
        <v>2194</v>
      </c>
      <c r="R18" s="134">
        <v>11701</v>
      </c>
    </row>
    <row r="19" spans="1:19">
      <c r="A19" s="339" t="s">
        <v>198</v>
      </c>
      <c r="C19" s="134"/>
      <c r="D19" s="134">
        <v>64</v>
      </c>
      <c r="E19" s="134">
        <v>157</v>
      </c>
      <c r="F19" s="134">
        <v>71</v>
      </c>
      <c r="G19" s="134">
        <v>50</v>
      </c>
      <c r="H19" s="134">
        <v>28</v>
      </c>
      <c r="I19" s="134">
        <v>19</v>
      </c>
      <c r="J19" s="134">
        <v>97</v>
      </c>
      <c r="K19" s="134">
        <v>0</v>
      </c>
      <c r="L19" s="134">
        <v>96</v>
      </c>
      <c r="M19" s="134">
        <v>0</v>
      </c>
      <c r="N19" s="134">
        <v>269</v>
      </c>
      <c r="O19" s="134">
        <v>0</v>
      </c>
      <c r="P19" s="134">
        <v>72</v>
      </c>
      <c r="Q19" s="134">
        <v>26</v>
      </c>
      <c r="R19" s="134">
        <v>949</v>
      </c>
      <c r="S19" s="300"/>
    </row>
    <row r="20" spans="1:19">
      <c r="A20" s="339" t="s">
        <v>328</v>
      </c>
      <c r="C20" s="134"/>
      <c r="D20" s="134">
        <v>4.4000000000000004</v>
      </c>
      <c r="E20" s="134">
        <v>39.46</v>
      </c>
      <c r="F20" s="134">
        <v>14.36</v>
      </c>
      <c r="G20" s="134">
        <v>3</v>
      </c>
      <c r="H20" s="134">
        <v>8.08</v>
      </c>
      <c r="I20" s="134">
        <v>10.16</v>
      </c>
      <c r="J20" s="134">
        <v>19.100000000000001</v>
      </c>
      <c r="K20" s="134">
        <v>3.06</v>
      </c>
      <c r="L20" s="134">
        <v>29.66</v>
      </c>
      <c r="M20" s="134">
        <v>1.62</v>
      </c>
      <c r="N20" s="134">
        <v>25.88</v>
      </c>
      <c r="O20" s="134">
        <v>4.6000000000000005</v>
      </c>
      <c r="P20" s="134">
        <v>26.76</v>
      </c>
      <c r="Q20" s="134">
        <v>43.88</v>
      </c>
      <c r="R20" s="134">
        <v>234.02</v>
      </c>
    </row>
    <row r="21" spans="1:19">
      <c r="A21" s="339" t="s">
        <v>329</v>
      </c>
      <c r="C21" s="134"/>
      <c r="D21" s="134">
        <v>1.28</v>
      </c>
      <c r="E21" s="134">
        <v>3.14</v>
      </c>
      <c r="F21" s="134">
        <v>1.42</v>
      </c>
      <c r="G21" s="134">
        <v>1</v>
      </c>
      <c r="H21" s="134">
        <v>0.56000000000000005</v>
      </c>
      <c r="I21" s="134">
        <v>0.38</v>
      </c>
      <c r="J21" s="134">
        <v>1.94</v>
      </c>
      <c r="K21" s="134">
        <v>0</v>
      </c>
      <c r="L21" s="134">
        <v>1.92</v>
      </c>
      <c r="M21" s="134">
        <v>0</v>
      </c>
      <c r="N21" s="134">
        <v>5.38</v>
      </c>
      <c r="O21" s="134">
        <v>0</v>
      </c>
      <c r="P21" s="134">
        <v>1.44</v>
      </c>
      <c r="Q21" s="134">
        <v>0.52</v>
      </c>
      <c r="R21" s="134">
        <v>18.98</v>
      </c>
    </row>
    <row r="22" spans="1:19">
      <c r="A22" s="340" t="s">
        <v>324</v>
      </c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</row>
    <row r="23" spans="1:19">
      <c r="A23" s="339" t="s">
        <v>326</v>
      </c>
      <c r="C23" s="134"/>
      <c r="D23" s="135">
        <v>182.62929856115107</v>
      </c>
      <c r="E23" s="135">
        <v>213.35051693548388</v>
      </c>
      <c r="F23" s="135">
        <v>193.30242847938143</v>
      </c>
      <c r="G23" s="135">
        <v>215.84246133004925</v>
      </c>
      <c r="H23" s="135">
        <v>204.20269617579908</v>
      </c>
      <c r="I23" s="135">
        <v>193.07416616257089</v>
      </c>
      <c r="J23" s="135">
        <v>191.95746690891474</v>
      </c>
      <c r="K23" s="135">
        <v>196.04838284023668</v>
      </c>
      <c r="L23" s="135">
        <v>186.65057912087912</v>
      </c>
      <c r="M23" s="135">
        <v>197.69314320987655</v>
      </c>
      <c r="N23" s="135">
        <v>209.4132933114754</v>
      </c>
      <c r="O23" s="135">
        <v>190.68371926406928</v>
      </c>
      <c r="P23" s="135">
        <v>203.90818045614037</v>
      </c>
      <c r="Q23" s="135">
        <v>193.13112226962764</v>
      </c>
      <c r="R23" s="135">
        <v>198.87719821929824</v>
      </c>
    </row>
    <row r="24" spans="1:19">
      <c r="A24" s="339" t="s">
        <v>192</v>
      </c>
      <c r="C24" s="134"/>
      <c r="D24" s="135">
        <v>54.788789568345322</v>
      </c>
      <c r="E24" s="135">
        <v>64.005155080645167</v>
      </c>
      <c r="F24" s="135">
        <v>57.990728543814427</v>
      </c>
      <c r="G24" s="135">
        <v>64.752738399014774</v>
      </c>
      <c r="H24" s="135">
        <v>61.260808852739721</v>
      </c>
      <c r="I24" s="135">
        <v>57.922249848771266</v>
      </c>
      <c r="J24" s="135">
        <v>57.587240072674419</v>
      </c>
      <c r="K24" s="135">
        <v>58.814514852070999</v>
      </c>
      <c r="L24" s="135">
        <v>55.99517373626373</v>
      </c>
      <c r="M24" s="135">
        <v>59.307942962962962</v>
      </c>
      <c r="N24" s="135">
        <v>62.823987993442614</v>
      </c>
      <c r="O24" s="135">
        <v>57.205115779220783</v>
      </c>
      <c r="P24" s="135">
        <v>61.172454136842106</v>
      </c>
      <c r="Q24" s="135">
        <v>57.939336680888289</v>
      </c>
      <c r="R24" s="135">
        <v>59.663159465789469</v>
      </c>
    </row>
    <row r="25" spans="1:19">
      <c r="A25" s="339" t="s">
        <v>330</v>
      </c>
      <c r="C25" s="134"/>
      <c r="D25" s="135">
        <v>39937.375009352516</v>
      </c>
      <c r="E25" s="135">
        <v>418414.92649422743</v>
      </c>
      <c r="F25" s="135">
        <v>137958.39678630669</v>
      </c>
      <c r="G25" s="135">
        <v>32182.110984310344</v>
      </c>
      <c r="H25" s="135">
        <v>82002.901919492695</v>
      </c>
      <c r="I25" s="135">
        <v>97493.186352122488</v>
      </c>
      <c r="J25" s="135">
        <v>182219.46461262551</v>
      </c>
      <c r="K25" s="135">
        <v>29815.430159108877</v>
      </c>
      <c r="L25" s="135">
        <v>275141.99198324612</v>
      </c>
      <c r="M25" s="135">
        <v>15917.065732399999</v>
      </c>
      <c r="N25" s="135">
        <v>269354.91673577885</v>
      </c>
      <c r="O25" s="135">
        <v>43594.111898151517</v>
      </c>
      <c r="P25" s="135">
        <v>271192.17057761393</v>
      </c>
      <c r="Q25" s="135">
        <v>421187.30416600569</v>
      </c>
      <c r="R25" s="135">
        <v>2316411.3534107422</v>
      </c>
    </row>
    <row r="26" spans="1:19">
      <c r="A26" s="340" t="s">
        <v>325</v>
      </c>
      <c r="C26" s="134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</row>
    <row r="27" spans="1:19">
      <c r="A27" s="339" t="s">
        <v>327</v>
      </c>
      <c r="C27" s="134"/>
      <c r="D27" s="135">
        <v>135.62929856115107</v>
      </c>
      <c r="E27" s="135">
        <v>166.35051693548388</v>
      </c>
      <c r="F27" s="135">
        <v>146.30242847938143</v>
      </c>
      <c r="G27" s="135">
        <v>168.84246133004925</v>
      </c>
      <c r="H27" s="135">
        <v>157.20269617579908</v>
      </c>
      <c r="I27" s="135">
        <v>146.07416616257089</v>
      </c>
      <c r="J27" s="135">
        <v>144.95746690891474</v>
      </c>
      <c r="K27" s="135">
        <v>149.04838284023668</v>
      </c>
      <c r="L27" s="135">
        <v>139.65057912087912</v>
      </c>
      <c r="M27" s="135">
        <v>150.69314320987655</v>
      </c>
      <c r="N27" s="135">
        <v>162.4132933114754</v>
      </c>
      <c r="O27" s="135">
        <v>143.68371926406928</v>
      </c>
      <c r="P27" s="135">
        <v>156.90818045614037</v>
      </c>
      <c r="Q27" s="135">
        <v>146.13112226962764</v>
      </c>
      <c r="R27" s="135">
        <v>151.87719821929824</v>
      </c>
    </row>
    <row r="28" spans="1:19">
      <c r="A28" s="339" t="s">
        <v>192</v>
      </c>
      <c r="C28" s="134"/>
      <c r="D28" s="135">
        <v>40.688789568345321</v>
      </c>
      <c r="E28" s="135">
        <v>49.905155080645166</v>
      </c>
      <c r="F28" s="135">
        <v>43.890728543814426</v>
      </c>
      <c r="G28" s="135">
        <v>50.652738399014773</v>
      </c>
      <c r="H28" s="135">
        <v>47.16080885273972</v>
      </c>
      <c r="I28" s="135">
        <v>43.822249848771264</v>
      </c>
      <c r="J28" s="135">
        <v>43.487240072674417</v>
      </c>
      <c r="K28" s="135">
        <v>44.714514852071005</v>
      </c>
      <c r="L28" s="135">
        <v>41.895173736263736</v>
      </c>
      <c r="M28" s="135">
        <v>45.207942962962967</v>
      </c>
      <c r="N28" s="135">
        <v>48.72398799344262</v>
      </c>
      <c r="O28" s="135">
        <v>43.105115779220782</v>
      </c>
      <c r="P28" s="135">
        <v>47.072454136842111</v>
      </c>
      <c r="Q28" s="135">
        <v>43.839336680888287</v>
      </c>
      <c r="R28" s="135">
        <v>45.563159465789468</v>
      </c>
    </row>
    <row r="29" spans="1:19">
      <c r="A29" s="339" t="s">
        <v>330</v>
      </c>
      <c r="C29" s="134"/>
      <c r="D29" s="135">
        <v>8628.1934572661867</v>
      </c>
      <c r="E29" s="135">
        <v>25960.328971917748</v>
      </c>
      <c r="F29" s="135">
        <v>10325.147587503865</v>
      </c>
      <c r="G29" s="135">
        <v>8391.4703281034472</v>
      </c>
      <c r="H29" s="135">
        <v>4375.26543996484</v>
      </c>
      <c r="I29" s="135">
        <v>2758.7567021463142</v>
      </c>
      <c r="J29" s="135">
        <v>13976.509044423741</v>
      </c>
      <c r="K29" s="135">
        <v>0</v>
      </c>
      <c r="L29" s="135">
        <v>13326.016862030769</v>
      </c>
      <c r="M29" s="135">
        <v>0</v>
      </c>
      <c r="N29" s="135">
        <v>43427.040845382166</v>
      </c>
      <c r="O29" s="135">
        <v>0</v>
      </c>
      <c r="P29" s="135">
        <v>11229.604658885053</v>
      </c>
      <c r="Q29" s="135">
        <v>3776.6127239362568</v>
      </c>
      <c r="R29" s="135">
        <v>146174.94662156038</v>
      </c>
    </row>
    <row r="30" spans="1:19">
      <c r="A30" s="339"/>
      <c r="C30" s="134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</row>
    <row r="31" spans="1:19">
      <c r="A31" s="339" t="s">
        <v>193</v>
      </c>
      <c r="C31" s="134"/>
      <c r="D31" s="135">
        <v>48565.568466618701</v>
      </c>
      <c r="E31" s="135">
        <v>444375.25546614517</v>
      </c>
      <c r="F31" s="135">
        <v>148283.54437381055</v>
      </c>
      <c r="G31" s="135">
        <v>40573.581312413793</v>
      </c>
      <c r="H31" s="135">
        <v>86378.16735945754</v>
      </c>
      <c r="I31" s="135">
        <v>100251.94305426881</v>
      </c>
      <c r="J31" s="135">
        <v>196195.97365704924</v>
      </c>
      <c r="K31" s="135">
        <v>29815.430159108877</v>
      </c>
      <c r="L31" s="135">
        <v>288468.0088452769</v>
      </c>
      <c r="M31" s="135">
        <v>15917.065732399999</v>
      </c>
      <c r="N31" s="135">
        <v>312781.957581161</v>
      </c>
      <c r="O31" s="135">
        <v>43594.111898151517</v>
      </c>
      <c r="P31" s="135">
        <v>282421.77523649897</v>
      </c>
      <c r="Q31" s="135">
        <v>424963.91688994196</v>
      </c>
      <c r="R31" s="135">
        <v>2462586.3000323032</v>
      </c>
    </row>
    <row r="32" spans="1:19">
      <c r="A32" s="339" t="s">
        <v>343</v>
      </c>
      <c r="C32" s="134"/>
      <c r="D32" s="135">
        <v>293.15232474820147</v>
      </c>
      <c r="E32" s="135">
        <v>2682.3456064354841</v>
      </c>
      <c r="F32" s="135">
        <v>895.07169642139172</v>
      </c>
      <c r="G32" s="135">
        <v>244.91095359605907</v>
      </c>
      <c r="H32" s="135">
        <v>521.39738848767115</v>
      </c>
      <c r="I32" s="135">
        <v>605.14251340604915</v>
      </c>
      <c r="J32" s="135">
        <v>1184.2815311290697</v>
      </c>
      <c r="K32" s="135">
        <v>179.97241544733726</v>
      </c>
      <c r="L32" s="135">
        <v>1741.2555865912086</v>
      </c>
      <c r="M32" s="135">
        <v>96.078867600000009</v>
      </c>
      <c r="N32" s="135">
        <v>1888.0198646750159</v>
      </c>
      <c r="O32" s="135">
        <v>263.14353258441565</v>
      </c>
      <c r="P32" s="135">
        <v>1704.7592066589475</v>
      </c>
      <c r="Q32" s="135">
        <v>2565.1745486314403</v>
      </c>
      <c r="R32" s="135">
        <v>14827.161344844737</v>
      </c>
    </row>
    <row r="33" spans="1:18">
      <c r="A33" s="130" t="s">
        <v>138</v>
      </c>
      <c r="C33" s="134"/>
      <c r="I33" s="135"/>
      <c r="J33" s="341"/>
      <c r="K33" s="341"/>
      <c r="L33" s="341"/>
      <c r="M33" s="341"/>
      <c r="N33" s="341"/>
      <c r="O33" s="341"/>
      <c r="P33" s="341"/>
      <c r="Q33" s="341"/>
    </row>
    <row r="34" spans="1:18">
      <c r="A34" s="339" t="s">
        <v>199</v>
      </c>
      <c r="D34" s="464">
        <v>11701</v>
      </c>
      <c r="F34" s="134"/>
    </row>
    <row r="35" spans="1:18">
      <c r="A35" s="339" t="s">
        <v>318</v>
      </c>
      <c r="D35" s="134">
        <v>11701</v>
      </c>
    </row>
    <row r="36" spans="1:18">
      <c r="A36" s="339" t="s">
        <v>319</v>
      </c>
      <c r="D36" s="134">
        <v>0</v>
      </c>
    </row>
    <row r="37" spans="1:18">
      <c r="A37" s="339" t="s">
        <v>201</v>
      </c>
      <c r="B37" s="465"/>
      <c r="C37" s="465"/>
      <c r="D37" s="464">
        <v>949</v>
      </c>
    </row>
    <row r="38" spans="1:18">
      <c r="A38" s="340" t="s">
        <v>159</v>
      </c>
      <c r="B38" s="45"/>
      <c r="C38" s="151"/>
      <c r="D38" s="152">
        <v>111484.32500000001</v>
      </c>
    </row>
    <row r="39" spans="1:18" ht="13.5" thickBot="1">
      <c r="A39" s="340" t="s">
        <v>352</v>
      </c>
      <c r="B39" s="45"/>
      <c r="C39" s="151"/>
      <c r="D39" s="152">
        <v>2096.1072985214942</v>
      </c>
      <c r="E39" s="152">
        <v>18798.27136355867</v>
      </c>
      <c r="F39" s="152">
        <v>6840.932001538331</v>
      </c>
      <c r="G39" s="152">
        <v>1429.1640671737462</v>
      </c>
      <c r="H39" s="152">
        <v>3849.2152209212891</v>
      </c>
      <c r="I39" s="152">
        <v>4840.1023074950863</v>
      </c>
      <c r="J39" s="152">
        <v>9099.0112276728487</v>
      </c>
      <c r="K39" s="152">
        <v>1457.7473485172209</v>
      </c>
      <c r="L39" s="152">
        <v>14129.668744124436</v>
      </c>
      <c r="M39" s="152"/>
      <c r="N39" s="152">
        <v>12328.922019485515</v>
      </c>
      <c r="O39" s="152">
        <v>2191.3849029997436</v>
      </c>
      <c r="P39" s="152">
        <v>12748.143479189814</v>
      </c>
      <c r="Q39" s="152">
        <v>20903.906422527991</v>
      </c>
      <c r="R39" s="152">
        <v>111484.32500000001</v>
      </c>
    </row>
    <row r="40" spans="1:18">
      <c r="A40" s="342" t="s">
        <v>149</v>
      </c>
      <c r="B40" s="189"/>
      <c r="C40" s="190">
        <v>2462586.3000323032</v>
      </c>
      <c r="D40" s="201">
        <v>0.95668948477332427</v>
      </c>
    </row>
    <row r="41" spans="1:18">
      <c r="A41" s="343" t="s">
        <v>159</v>
      </c>
      <c r="B41" s="191"/>
      <c r="C41" s="192">
        <v>111484.32500000001</v>
      </c>
      <c r="D41" s="201">
        <v>4.3310515226675624E-2</v>
      </c>
    </row>
    <row r="42" spans="1:18" ht="13.5" thickBot="1">
      <c r="A42" s="344" t="s">
        <v>165</v>
      </c>
      <c r="B42" s="193"/>
      <c r="C42" s="194">
        <v>2574070.6250323034</v>
      </c>
      <c r="D42" s="152"/>
    </row>
    <row r="43" spans="1:18" ht="13.5" thickBot="1">
      <c r="A43" s="339"/>
      <c r="C43" s="134"/>
    </row>
    <row r="44" spans="1:18">
      <c r="A44" s="342" t="s">
        <v>194</v>
      </c>
      <c r="B44" s="345"/>
      <c r="C44" s="346"/>
      <c r="D44" s="345"/>
      <c r="E44" s="347"/>
    </row>
    <row r="45" spans="1:18">
      <c r="A45" s="348" t="s">
        <v>139</v>
      </c>
      <c r="B45" s="349"/>
      <c r="C45" s="350"/>
      <c r="D45" s="351"/>
      <c r="E45" s="352">
        <v>26619.775000000001</v>
      </c>
      <c r="H45"/>
      <c r="I45"/>
      <c r="J45"/>
      <c r="K45"/>
      <c r="L45"/>
      <c r="M45"/>
      <c r="N45"/>
      <c r="O45"/>
      <c r="P45"/>
    </row>
    <row r="46" spans="1:18" ht="12.75" customHeight="1">
      <c r="A46" s="353" t="s">
        <v>140</v>
      </c>
      <c r="B46" s="354"/>
      <c r="C46" s="355"/>
      <c r="D46" s="356"/>
      <c r="E46" s="357">
        <v>15211.300000000001</v>
      </c>
      <c r="F46" s="358"/>
      <c r="H46"/>
      <c r="I46"/>
      <c r="J46"/>
      <c r="K46"/>
      <c r="L46"/>
      <c r="M46"/>
      <c r="N46"/>
      <c r="O46"/>
      <c r="P46"/>
    </row>
    <row r="47" spans="1:18" ht="17.25" customHeight="1">
      <c r="A47" s="348" t="s">
        <v>141</v>
      </c>
      <c r="B47" s="359"/>
      <c r="C47" s="350"/>
      <c r="D47" s="359"/>
      <c r="E47" s="352">
        <v>38028.25</v>
      </c>
      <c r="H47"/>
      <c r="I47"/>
      <c r="J47"/>
      <c r="K47"/>
      <c r="L47"/>
      <c r="M47"/>
      <c r="N47"/>
      <c r="O47"/>
      <c r="P47"/>
    </row>
    <row r="48" spans="1:18" ht="14.45" customHeight="1">
      <c r="A48" s="353" t="s">
        <v>49</v>
      </c>
      <c r="B48" s="354"/>
      <c r="C48" s="355"/>
      <c r="D48" s="356"/>
      <c r="E48" s="357">
        <v>31625</v>
      </c>
      <c r="H48"/>
      <c r="I48"/>
      <c r="J48"/>
      <c r="K48"/>
      <c r="L48"/>
      <c r="M48"/>
      <c r="N48"/>
      <c r="O48"/>
      <c r="P48"/>
    </row>
    <row r="49" spans="1:16" ht="14.45" customHeight="1">
      <c r="A49" s="360" t="s">
        <v>150</v>
      </c>
      <c r="B49" s="361"/>
      <c r="C49" s="361"/>
      <c r="D49" s="361"/>
      <c r="E49" s="362">
        <v>111484.32500000001</v>
      </c>
      <c r="H49"/>
      <c r="I49"/>
      <c r="J49"/>
      <c r="K49"/>
      <c r="L49"/>
      <c r="M49"/>
      <c r="N49"/>
      <c r="O49"/>
      <c r="P49"/>
    </row>
    <row r="50" spans="1:16" ht="14.45" customHeight="1">
      <c r="A50" s="363" t="s">
        <v>151</v>
      </c>
      <c r="B50" s="364"/>
      <c r="C50" s="364"/>
      <c r="D50" s="364"/>
      <c r="E50" s="365">
        <v>9.5277604478249724</v>
      </c>
      <c r="H50"/>
      <c r="I50"/>
      <c r="J50"/>
      <c r="K50"/>
      <c r="L50"/>
      <c r="M50"/>
      <c r="N50"/>
      <c r="O50"/>
      <c r="P50"/>
    </row>
    <row r="51" spans="1:16" ht="26.25" customHeight="1">
      <c r="A51" s="303" t="s">
        <v>139</v>
      </c>
      <c r="B51" s="366" t="s">
        <v>90</v>
      </c>
      <c r="C51" s="366"/>
      <c r="D51" s="367" t="s">
        <v>91</v>
      </c>
      <c r="E51" s="368" t="s">
        <v>92</v>
      </c>
      <c r="H51"/>
      <c r="I51"/>
      <c r="J51"/>
      <c r="K51"/>
      <c r="L51"/>
      <c r="M51"/>
      <c r="N51"/>
      <c r="O51"/>
      <c r="P51"/>
    </row>
    <row r="52" spans="1:16">
      <c r="A52" s="369" t="s">
        <v>76</v>
      </c>
      <c r="B52" s="301">
        <v>6.5000000000000002E-2</v>
      </c>
      <c r="C52" s="370">
        <v>760.56500000000005</v>
      </c>
      <c r="D52" s="371">
        <v>35</v>
      </c>
      <c r="E52" s="372">
        <v>26619.775000000001</v>
      </c>
      <c r="F52" s="373"/>
      <c r="H52"/>
      <c r="I52"/>
      <c r="J52"/>
      <c r="K52"/>
      <c r="L52"/>
      <c r="M52"/>
      <c r="N52"/>
      <c r="O52"/>
      <c r="P52"/>
    </row>
    <row r="53" spans="1:16" ht="32.25" customHeight="1">
      <c r="A53" s="369" t="s">
        <v>77</v>
      </c>
      <c r="B53" s="301">
        <v>0</v>
      </c>
      <c r="C53" s="370">
        <v>0</v>
      </c>
      <c r="D53" s="371">
        <v>25</v>
      </c>
      <c r="E53" s="372">
        <v>0</v>
      </c>
      <c r="F53" s="135"/>
      <c r="H53"/>
      <c r="I53"/>
      <c r="J53"/>
      <c r="K53"/>
      <c r="L53"/>
      <c r="M53"/>
      <c r="N53"/>
      <c r="O53"/>
      <c r="P53"/>
    </row>
    <row r="54" spans="1:16">
      <c r="A54" s="369" t="s">
        <v>78</v>
      </c>
      <c r="B54" s="301">
        <v>0</v>
      </c>
      <c r="C54" s="370">
        <v>0</v>
      </c>
      <c r="D54" s="371">
        <v>10</v>
      </c>
      <c r="E54" s="372">
        <v>0</v>
      </c>
      <c r="F54" s="135"/>
      <c r="H54"/>
      <c r="I54"/>
      <c r="J54"/>
      <c r="K54"/>
      <c r="L54"/>
      <c r="M54"/>
      <c r="N54"/>
      <c r="O54"/>
      <c r="P54"/>
    </row>
    <row r="55" spans="1:16" ht="19.5" customHeight="1">
      <c r="A55" s="374" t="s">
        <v>94</v>
      </c>
      <c r="B55" s="379">
        <v>0.93500000000000005</v>
      </c>
      <c r="C55" s="370">
        <v>10940.435000000001</v>
      </c>
      <c r="D55" s="375">
        <v>0</v>
      </c>
      <c r="E55" s="372">
        <v>0</v>
      </c>
      <c r="F55" s="376"/>
      <c r="H55"/>
      <c r="I55"/>
      <c r="J55"/>
      <c r="K55"/>
      <c r="L55"/>
      <c r="M55"/>
      <c r="N55"/>
      <c r="O55"/>
      <c r="P55"/>
    </row>
    <row r="56" spans="1:16">
      <c r="A56" s="303" t="s">
        <v>140</v>
      </c>
      <c r="B56" s="366" t="s">
        <v>90</v>
      </c>
      <c r="C56" s="366"/>
      <c r="D56" s="367" t="s">
        <v>91</v>
      </c>
      <c r="E56" s="368" t="s">
        <v>92</v>
      </c>
      <c r="H56"/>
      <c r="I56"/>
      <c r="J56"/>
      <c r="K56"/>
      <c r="L56"/>
      <c r="M56"/>
      <c r="N56"/>
      <c r="O56"/>
      <c r="P56"/>
    </row>
    <row r="57" spans="1:16">
      <c r="A57" s="369" t="s">
        <v>76</v>
      </c>
      <c r="B57" s="301">
        <v>6.5000000000000002E-2</v>
      </c>
      <c r="C57" s="370">
        <v>760.56500000000005</v>
      </c>
      <c r="D57" s="377">
        <v>20</v>
      </c>
      <c r="E57" s="372">
        <v>15211.300000000001</v>
      </c>
      <c r="H57"/>
      <c r="I57"/>
      <c r="J57"/>
      <c r="K57"/>
      <c r="L57"/>
      <c r="M57"/>
      <c r="N57"/>
      <c r="O57"/>
      <c r="P57"/>
    </row>
    <row r="58" spans="1:16">
      <c r="A58" s="369" t="s">
        <v>77</v>
      </c>
      <c r="B58" s="301">
        <v>0</v>
      </c>
      <c r="C58" s="370">
        <v>0</v>
      </c>
      <c r="D58" s="377">
        <v>15</v>
      </c>
      <c r="E58" s="372">
        <v>0</v>
      </c>
      <c r="H58"/>
      <c r="I58"/>
      <c r="J58"/>
      <c r="K58"/>
      <c r="L58"/>
      <c r="M58"/>
      <c r="N58"/>
      <c r="O58"/>
      <c r="P58"/>
    </row>
    <row r="59" spans="1:16">
      <c r="A59" s="369" t="s">
        <v>78</v>
      </c>
      <c r="B59" s="301">
        <v>0</v>
      </c>
      <c r="C59" s="370">
        <v>0</v>
      </c>
      <c r="D59" s="377">
        <v>5</v>
      </c>
      <c r="E59" s="372">
        <v>0</v>
      </c>
      <c r="H59"/>
      <c r="I59"/>
      <c r="J59"/>
      <c r="K59"/>
      <c r="L59"/>
      <c r="M59"/>
      <c r="N59"/>
      <c r="O59"/>
      <c r="P59"/>
    </row>
    <row r="60" spans="1:16" ht="26.25" customHeight="1">
      <c r="A60" s="374" t="s">
        <v>94</v>
      </c>
      <c r="B60" s="379">
        <v>0.93500000000000005</v>
      </c>
      <c r="C60" s="370">
        <v>10940.435000000001</v>
      </c>
      <c r="D60" s="378">
        <v>0</v>
      </c>
      <c r="E60" s="372">
        <v>0</v>
      </c>
      <c r="H60"/>
      <c r="I60"/>
      <c r="J60"/>
      <c r="K60"/>
      <c r="L60"/>
      <c r="M60"/>
      <c r="N60"/>
      <c r="O60"/>
      <c r="P60"/>
    </row>
    <row r="61" spans="1:16">
      <c r="A61" s="303" t="s">
        <v>141</v>
      </c>
      <c r="B61" s="366" t="s">
        <v>90</v>
      </c>
      <c r="C61" s="366"/>
      <c r="D61" s="367" t="s">
        <v>91</v>
      </c>
      <c r="E61" s="368" t="s">
        <v>92</v>
      </c>
      <c r="H61"/>
      <c r="I61"/>
      <c r="J61"/>
      <c r="K61"/>
      <c r="L61"/>
      <c r="M61"/>
      <c r="N61"/>
      <c r="O61"/>
      <c r="P61"/>
    </row>
    <row r="62" spans="1:16">
      <c r="A62" s="369" t="s">
        <v>77</v>
      </c>
      <c r="B62" s="301">
        <v>6.5000000000000002E-2</v>
      </c>
      <c r="C62" s="370">
        <v>760.56500000000005</v>
      </c>
      <c r="D62" s="377">
        <v>50</v>
      </c>
      <c r="E62" s="372">
        <v>38028.25</v>
      </c>
      <c r="H62"/>
      <c r="I62"/>
      <c r="J62"/>
      <c r="K62"/>
      <c r="L62"/>
      <c r="M62"/>
      <c r="N62"/>
      <c r="O62"/>
      <c r="P62"/>
    </row>
    <row r="63" spans="1:16">
      <c r="A63" s="369" t="s">
        <v>78</v>
      </c>
      <c r="B63" s="301">
        <v>0</v>
      </c>
      <c r="C63" s="370">
        <v>0</v>
      </c>
      <c r="D63" s="377">
        <v>20</v>
      </c>
      <c r="E63" s="372">
        <v>0</v>
      </c>
      <c r="H63"/>
      <c r="I63"/>
      <c r="J63"/>
      <c r="K63"/>
      <c r="L63"/>
      <c r="M63"/>
      <c r="N63"/>
      <c r="O63"/>
      <c r="P63"/>
    </row>
    <row r="64" spans="1:16">
      <c r="A64" s="374" t="s">
        <v>94</v>
      </c>
      <c r="B64" s="379">
        <v>0.93500000000000005</v>
      </c>
      <c r="C64" s="370">
        <v>10940.435000000001</v>
      </c>
      <c r="D64" s="378">
        <v>0</v>
      </c>
      <c r="E64" s="372">
        <v>0</v>
      </c>
      <c r="H64"/>
      <c r="I64"/>
      <c r="J64"/>
      <c r="K64"/>
      <c r="L64"/>
      <c r="M64"/>
      <c r="N64"/>
      <c r="O64"/>
      <c r="P64"/>
    </row>
    <row r="65" spans="1:5" ht="27.75" customHeight="1">
      <c r="A65" s="303" t="s">
        <v>142</v>
      </c>
      <c r="B65" s="366" t="s">
        <v>90</v>
      </c>
      <c r="C65" s="366"/>
      <c r="D65" s="367" t="s">
        <v>91</v>
      </c>
      <c r="E65" s="368" t="s">
        <v>92</v>
      </c>
    </row>
    <row r="66" spans="1:5">
      <c r="A66" s="369" t="s">
        <v>77</v>
      </c>
      <c r="B66" s="301">
        <v>0.25</v>
      </c>
      <c r="C66" s="370">
        <v>3162.5</v>
      </c>
      <c r="D66" s="377">
        <v>10</v>
      </c>
      <c r="E66" s="372">
        <v>31625</v>
      </c>
    </row>
    <row r="67" spans="1:5">
      <c r="A67" s="374" t="s">
        <v>94</v>
      </c>
      <c r="B67" s="301">
        <v>0.75</v>
      </c>
      <c r="C67" s="370">
        <v>9487.5</v>
      </c>
      <c r="D67" s="377">
        <v>0</v>
      </c>
      <c r="E67" s="372">
        <v>0</v>
      </c>
    </row>
    <row r="68" spans="1:5" ht="13.5" thickBot="1">
      <c r="A68" s="380"/>
      <c r="B68" s="381" t="s">
        <v>93</v>
      </c>
      <c r="C68" s="381"/>
      <c r="D68" s="381"/>
      <c r="E68" s="382">
        <v>111484.32500000001</v>
      </c>
    </row>
    <row r="69" spans="1:5" ht="39" customHeight="1">
      <c r="A69" s="383"/>
      <c r="B69" s="384"/>
      <c r="C69" s="384"/>
      <c r="D69" s="384"/>
      <c r="E69" s="385"/>
    </row>
  </sheetData>
  <sheetProtection sheet="1" objects="1" scenarios="1"/>
  <mergeCells count="3">
    <mergeCell ref="A2:C2"/>
    <mergeCell ref="A3:C3"/>
    <mergeCell ref="A7:C7"/>
  </mergeCells>
  <pageMargins left="0.7" right="0.7" top="0.75" bottom="0.75" header="0.3" footer="0.3"/>
  <pageSetup paperSize="9" scale="4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W33"/>
  <sheetViews>
    <sheetView zoomScaleNormal="100" workbookViewId="0">
      <selection activeCell="I9" sqref="I9"/>
    </sheetView>
  </sheetViews>
  <sheetFormatPr defaultColWidth="11.5703125" defaultRowHeight="12.75"/>
  <cols>
    <col min="1" max="1" width="42" style="197" customWidth="1"/>
    <col min="2" max="2" width="16.5703125" style="197" customWidth="1"/>
    <col min="3" max="3" width="14.5703125" style="197" customWidth="1"/>
    <col min="4" max="6" width="11.42578125" style="197" customWidth="1"/>
    <col min="7" max="7" width="11.28515625" style="197" bestFit="1" customWidth="1"/>
    <col min="8" max="8" width="12.140625" style="330" customWidth="1"/>
    <col min="9" max="9" width="11.140625" style="330" customWidth="1"/>
    <col min="10" max="10" width="15.5703125" style="330" customWidth="1"/>
    <col min="11" max="12" width="14.85546875" style="330" customWidth="1"/>
    <col min="13" max="13" width="11.5703125" style="197" bestFit="1" customWidth="1"/>
    <col min="14" max="14" width="12.85546875" style="197" customWidth="1"/>
    <col min="15" max="17" width="15.42578125" style="197" customWidth="1"/>
    <col min="18" max="18" width="14.5703125" style="197" bestFit="1" customWidth="1"/>
    <col min="19" max="19" width="12.5703125" style="197" customWidth="1"/>
    <col min="20" max="20" width="13" style="197" customWidth="1"/>
    <col min="21" max="21" width="17.140625" style="197" customWidth="1"/>
    <col min="22" max="22" width="13.42578125" style="197" bestFit="1" customWidth="1"/>
    <col min="23" max="16384" width="11.5703125" style="197"/>
  </cols>
  <sheetData>
    <row r="1" spans="1:23">
      <c r="A1" s="211"/>
      <c r="B1" s="211"/>
      <c r="C1" s="211"/>
      <c r="D1" s="211"/>
      <c r="E1" s="211"/>
      <c r="F1" s="211"/>
      <c r="G1" s="211"/>
      <c r="H1" s="335"/>
      <c r="I1" s="335"/>
      <c r="J1" s="335"/>
      <c r="K1" s="335"/>
      <c r="L1" s="335"/>
      <c r="M1" s="336"/>
      <c r="N1" s="336"/>
      <c r="O1" s="336"/>
      <c r="P1" s="336"/>
      <c r="Q1" s="211"/>
      <c r="R1" s="211"/>
      <c r="S1" s="211"/>
      <c r="T1" s="335"/>
      <c r="U1" s="211"/>
      <c r="V1" s="211"/>
      <c r="W1" s="211"/>
    </row>
    <row r="2" spans="1:23" ht="56.25">
      <c r="A2" s="420" t="s">
        <v>372</v>
      </c>
      <c r="B2" s="415" t="s">
        <v>389</v>
      </c>
      <c r="C2" s="415" t="s">
        <v>175</v>
      </c>
      <c r="D2" s="415" t="s">
        <v>338</v>
      </c>
      <c r="E2" s="415" t="s">
        <v>376</v>
      </c>
      <c r="F2" s="417" t="s">
        <v>176</v>
      </c>
      <c r="G2" s="211"/>
      <c r="H2" s="312"/>
      <c r="I2" s="197"/>
      <c r="J2" s="197"/>
      <c r="K2" s="312"/>
      <c r="L2" s="331"/>
    </row>
    <row r="3" spans="1:23">
      <c r="A3" s="418" t="s">
        <v>177</v>
      </c>
      <c r="B3" s="421">
        <v>11704.599999999999</v>
      </c>
      <c r="C3" s="421">
        <v>1348</v>
      </c>
      <c r="D3" s="421">
        <v>20875</v>
      </c>
      <c r="E3" s="421">
        <v>2702.2</v>
      </c>
      <c r="F3" s="422">
        <v>36629.799999999996</v>
      </c>
      <c r="G3" s="282"/>
      <c r="H3" s="312"/>
      <c r="I3" s="312"/>
      <c r="J3" s="312"/>
      <c r="K3" s="312"/>
      <c r="L3" s="331"/>
    </row>
    <row r="4" spans="1:23">
      <c r="A4" s="418" t="s">
        <v>178</v>
      </c>
      <c r="B4" s="421">
        <v>31150.2</v>
      </c>
      <c r="C4" s="421">
        <v>1685</v>
      </c>
      <c r="D4" s="421">
        <v>20040</v>
      </c>
      <c r="E4" s="421">
        <v>11063.400000000001</v>
      </c>
      <c r="F4" s="422">
        <v>63938.6</v>
      </c>
      <c r="G4" s="282"/>
      <c r="H4" s="312"/>
      <c r="I4" s="312"/>
      <c r="J4" s="197"/>
      <c r="K4" s="332"/>
      <c r="L4" s="211"/>
    </row>
    <row r="5" spans="1:23">
      <c r="A5" s="418" t="s">
        <v>179</v>
      </c>
      <c r="B5" s="421">
        <v>7753.1999999999989</v>
      </c>
      <c r="C5" s="421">
        <v>0</v>
      </c>
      <c r="D5" s="421">
        <v>167</v>
      </c>
      <c r="E5" s="421">
        <v>0</v>
      </c>
      <c r="F5" s="422">
        <v>7920.1999999999989</v>
      </c>
      <c r="G5" s="282"/>
      <c r="H5" s="312"/>
      <c r="I5" s="312"/>
      <c r="J5" s="197"/>
      <c r="K5" s="332"/>
      <c r="L5" s="211"/>
    </row>
    <row r="6" spans="1:23">
      <c r="A6" s="418" t="s">
        <v>2</v>
      </c>
      <c r="B6" s="421">
        <v>13647.799999999997</v>
      </c>
      <c r="C6" s="421">
        <v>1348</v>
      </c>
      <c r="D6" s="421">
        <v>2672</v>
      </c>
      <c r="E6" s="421">
        <v>3116.2</v>
      </c>
      <c r="F6" s="422">
        <v>20783.999999999996</v>
      </c>
      <c r="G6" s="282"/>
      <c r="H6" s="312"/>
      <c r="I6" s="312"/>
      <c r="J6" s="197"/>
      <c r="K6" s="211"/>
      <c r="L6" s="211"/>
    </row>
    <row r="7" spans="1:23">
      <c r="A7" s="418" t="s">
        <v>12</v>
      </c>
      <c r="B7" s="421">
        <v>14409.999999999996</v>
      </c>
      <c r="C7" s="421">
        <v>0</v>
      </c>
      <c r="D7" s="421">
        <v>7849</v>
      </c>
      <c r="E7" s="421">
        <v>2372.1999999999998</v>
      </c>
      <c r="F7" s="422">
        <v>24631.199999999997</v>
      </c>
      <c r="G7" s="282"/>
      <c r="H7" s="312"/>
      <c r="I7" s="312"/>
      <c r="J7" s="197"/>
      <c r="K7" s="282"/>
      <c r="L7" s="211"/>
    </row>
    <row r="8" spans="1:23">
      <c r="A8" s="418" t="s">
        <v>107</v>
      </c>
      <c r="B8" s="421">
        <v>5691</v>
      </c>
      <c r="C8" s="421">
        <v>337</v>
      </c>
      <c r="D8" s="421">
        <v>1002</v>
      </c>
      <c r="E8" s="421">
        <v>2874.4</v>
      </c>
      <c r="F8" s="422">
        <v>9904.4</v>
      </c>
      <c r="G8" s="282"/>
      <c r="H8" s="312"/>
      <c r="I8" s="312"/>
      <c r="J8" s="197"/>
      <c r="K8" s="282"/>
      <c r="L8" s="211"/>
    </row>
    <row r="9" spans="1:23">
      <c r="A9" s="418" t="s">
        <v>4</v>
      </c>
      <c r="B9" s="421">
        <v>15316.4</v>
      </c>
      <c r="C9" s="421">
        <v>0</v>
      </c>
      <c r="D9" s="421">
        <v>668</v>
      </c>
      <c r="E9" s="421">
        <v>2479.1999999999998</v>
      </c>
      <c r="F9" s="422">
        <v>18463.599999999999</v>
      </c>
      <c r="G9" s="282"/>
      <c r="H9" s="312"/>
      <c r="I9" s="312"/>
      <c r="J9" s="197"/>
      <c r="K9" s="282"/>
      <c r="L9" s="211"/>
    </row>
    <row r="10" spans="1:23">
      <c r="A10" s="418" t="s">
        <v>5</v>
      </c>
      <c r="B10" s="421">
        <v>9092.2000000000007</v>
      </c>
      <c r="C10" s="421">
        <v>674</v>
      </c>
      <c r="D10" s="421">
        <v>22378</v>
      </c>
      <c r="E10" s="421">
        <v>6516.4</v>
      </c>
      <c r="F10" s="422">
        <v>38660.6</v>
      </c>
      <c r="G10" s="282"/>
      <c r="H10" s="312"/>
      <c r="I10" s="312"/>
      <c r="J10" s="197"/>
      <c r="K10" s="282"/>
      <c r="L10" s="211"/>
    </row>
    <row r="11" spans="1:23">
      <c r="A11" s="418" t="s">
        <v>6</v>
      </c>
      <c r="B11" s="421">
        <v>4546.7999999999993</v>
      </c>
      <c r="C11" s="421">
        <v>0</v>
      </c>
      <c r="D11" s="421">
        <v>334</v>
      </c>
      <c r="E11" s="421">
        <v>334</v>
      </c>
      <c r="F11" s="422">
        <v>5214.7999999999993</v>
      </c>
      <c r="G11" s="282"/>
      <c r="H11" s="197"/>
      <c r="I11" s="312"/>
      <c r="J11" s="197"/>
      <c r="K11" s="282"/>
      <c r="L11" s="211"/>
    </row>
    <row r="12" spans="1:23">
      <c r="A12" s="418" t="s">
        <v>8</v>
      </c>
      <c r="B12" s="421">
        <v>18352.399999999998</v>
      </c>
      <c r="C12" s="421">
        <v>3370</v>
      </c>
      <c r="D12" s="421">
        <v>11523</v>
      </c>
      <c r="E12" s="421">
        <v>11595.8</v>
      </c>
      <c r="F12" s="422">
        <v>44841.2</v>
      </c>
      <c r="G12" s="282"/>
      <c r="H12" s="197"/>
      <c r="I12" s="312"/>
      <c r="J12" s="197"/>
      <c r="K12" s="333"/>
      <c r="L12" s="211"/>
    </row>
    <row r="13" spans="1:23">
      <c r="A13" s="418" t="s">
        <v>371</v>
      </c>
      <c r="B13" s="421">
        <v>1594.3999999999999</v>
      </c>
      <c r="C13" s="421">
        <v>0</v>
      </c>
      <c r="D13" s="421">
        <v>0</v>
      </c>
      <c r="E13" s="421">
        <v>635.20000000000005</v>
      </c>
      <c r="F13" s="422">
        <v>2229.6</v>
      </c>
      <c r="G13" s="282"/>
      <c r="H13" s="197"/>
      <c r="I13" s="312"/>
      <c r="J13" s="197"/>
      <c r="K13" s="333"/>
      <c r="L13" s="211"/>
    </row>
    <row r="14" spans="1:23">
      <c r="A14" s="418" t="s">
        <v>9</v>
      </c>
      <c r="B14" s="421">
        <v>54766.400000000016</v>
      </c>
      <c r="C14" s="421">
        <v>2696</v>
      </c>
      <c r="D14" s="421">
        <v>9185</v>
      </c>
      <c r="E14" s="421">
        <v>14670.400000000001</v>
      </c>
      <c r="F14" s="422">
        <v>81317.800000000017</v>
      </c>
      <c r="G14" s="282"/>
      <c r="H14" s="197"/>
      <c r="I14" s="312"/>
      <c r="J14" s="197"/>
      <c r="K14" s="282"/>
      <c r="L14" s="211"/>
    </row>
    <row r="15" spans="1:23">
      <c r="A15" s="418" t="s">
        <v>10</v>
      </c>
      <c r="B15" s="421">
        <v>1443.6</v>
      </c>
      <c r="C15" s="421">
        <v>0</v>
      </c>
      <c r="D15" s="421">
        <v>668</v>
      </c>
      <c r="E15" s="421">
        <v>922.4</v>
      </c>
      <c r="F15" s="422">
        <v>3034</v>
      </c>
      <c r="G15" s="282"/>
      <c r="H15" s="197"/>
      <c r="I15" s="312"/>
      <c r="J15" s="197"/>
      <c r="K15" s="282"/>
      <c r="L15" s="211"/>
    </row>
    <row r="16" spans="1:23">
      <c r="A16" s="418" t="s">
        <v>180</v>
      </c>
      <c r="B16" s="421">
        <v>28778.199999999993</v>
      </c>
      <c r="C16" s="421">
        <v>1011</v>
      </c>
      <c r="D16" s="421">
        <v>11022</v>
      </c>
      <c r="E16" s="421">
        <v>7640.4000000000005</v>
      </c>
      <c r="F16" s="422">
        <v>48451.6</v>
      </c>
      <c r="G16" s="282"/>
      <c r="H16" s="197"/>
      <c r="I16" s="312"/>
      <c r="J16" s="197"/>
      <c r="K16" s="282"/>
      <c r="L16" s="211"/>
    </row>
    <row r="17" spans="1:23">
      <c r="A17" s="418" t="s">
        <v>181</v>
      </c>
      <c r="B17" s="421">
        <v>5541.7999999999993</v>
      </c>
      <c r="C17" s="421">
        <v>0</v>
      </c>
      <c r="D17" s="421">
        <v>334</v>
      </c>
      <c r="E17" s="421">
        <v>0</v>
      </c>
      <c r="F17" s="422">
        <v>5875.7999999999993</v>
      </c>
      <c r="G17" s="282"/>
      <c r="H17" s="197"/>
      <c r="I17" s="312"/>
      <c r="J17" s="197"/>
      <c r="K17" s="282"/>
      <c r="L17" s="211"/>
    </row>
    <row r="18" spans="1:23" ht="13.5" thickBot="1">
      <c r="A18" s="418" t="s">
        <v>108</v>
      </c>
      <c r="B18" s="421">
        <v>69254.60000000002</v>
      </c>
      <c r="C18" s="421">
        <v>337</v>
      </c>
      <c r="D18" s="421">
        <v>22879</v>
      </c>
      <c r="E18" s="421">
        <v>8854.4</v>
      </c>
      <c r="F18" s="422">
        <v>101325.00000000001</v>
      </c>
      <c r="G18" s="282"/>
      <c r="H18" s="197"/>
      <c r="I18" s="312"/>
      <c r="J18" s="197"/>
      <c r="K18" s="329"/>
      <c r="L18" s="211"/>
    </row>
    <row r="19" spans="1:23" ht="13.5" thickBot="1">
      <c r="A19" s="419" t="s">
        <v>14</v>
      </c>
      <c r="B19" s="416">
        <v>293043.59999999998</v>
      </c>
      <c r="C19" s="416">
        <v>12806</v>
      </c>
      <c r="D19" s="416">
        <v>131596</v>
      </c>
      <c r="E19" s="416">
        <v>75776.599999999991</v>
      </c>
      <c r="F19" s="414">
        <v>513222.1999999999</v>
      </c>
      <c r="G19" s="334"/>
      <c r="H19" s="197"/>
      <c r="I19" s="197"/>
      <c r="J19" s="197"/>
      <c r="K19" s="329"/>
      <c r="L19" s="211"/>
    </row>
    <row r="20" spans="1:23">
      <c r="A20"/>
      <c r="B20"/>
      <c r="C20" s="329"/>
      <c r="D20" s="329"/>
      <c r="E20" s="329"/>
      <c r="F20" s="329"/>
      <c r="G20" s="211"/>
      <c r="H20" s="337"/>
      <c r="I20" s="283"/>
      <c r="J20" s="197"/>
      <c r="K20" s="197"/>
      <c r="L20" s="211"/>
      <c r="M20" s="211"/>
    </row>
    <row r="21" spans="1:23">
      <c r="A21"/>
      <c r="B21"/>
      <c r="C21" s="336"/>
      <c r="D21" s="336"/>
      <c r="E21" s="336"/>
      <c r="F21" s="336"/>
      <c r="G21" s="211"/>
      <c r="H21" s="337"/>
      <c r="I21" s="337"/>
      <c r="J21" s="335"/>
      <c r="K21" s="211"/>
      <c r="L21" s="211"/>
      <c r="M21" s="211"/>
    </row>
    <row r="22" spans="1:23">
      <c r="A22"/>
      <c r="B22"/>
      <c r="C22" s="335"/>
      <c r="D22" s="335"/>
      <c r="E22" s="335"/>
      <c r="F22" s="335"/>
      <c r="G22" s="336"/>
      <c r="H22" s="336"/>
      <c r="I22" s="336"/>
      <c r="J22" s="336"/>
      <c r="K22" s="211"/>
      <c r="L22" s="337"/>
      <c r="M22" s="337"/>
      <c r="N22" s="335"/>
      <c r="O22" s="211"/>
      <c r="P22" s="211"/>
      <c r="Q22" s="211"/>
    </row>
    <row r="23" spans="1:23">
      <c r="A23"/>
      <c r="B23"/>
      <c r="C23" s="335"/>
      <c r="D23" s="335"/>
      <c r="E23" s="335"/>
      <c r="F23" s="335"/>
      <c r="G23" s="336"/>
      <c r="H23" s="336"/>
      <c r="I23" s="336"/>
      <c r="J23" s="336"/>
      <c r="K23" s="211"/>
      <c r="L23" s="211"/>
      <c r="M23" s="211"/>
      <c r="N23" s="335"/>
      <c r="O23" s="211"/>
      <c r="P23" s="211"/>
      <c r="Q23" s="211"/>
    </row>
    <row r="24" spans="1:23">
      <c r="A24"/>
      <c r="B24"/>
      <c r="C24" s="335"/>
      <c r="D24" s="423"/>
      <c r="E24" s="335"/>
      <c r="F24" s="335"/>
      <c r="G24" s="336"/>
      <c r="H24" s="336"/>
      <c r="I24" s="336"/>
      <c r="J24" s="336"/>
      <c r="K24" s="211"/>
      <c r="L24" s="211"/>
      <c r="M24" s="211"/>
      <c r="N24" s="335"/>
      <c r="O24" s="211"/>
      <c r="P24" s="211"/>
      <c r="Q24" s="211"/>
    </row>
    <row r="25" spans="1:23">
      <c r="A25"/>
      <c r="B25"/>
      <c r="C25" s="423"/>
      <c r="D25" s="335"/>
      <c r="E25" s="335"/>
      <c r="F25" s="335"/>
      <c r="G25" s="336"/>
      <c r="H25" s="336"/>
      <c r="I25" s="336"/>
      <c r="J25" s="336"/>
      <c r="K25" s="337"/>
      <c r="L25" s="211"/>
      <c r="M25" s="211"/>
      <c r="N25" s="335"/>
      <c r="O25" s="211"/>
      <c r="P25" s="211"/>
      <c r="Q25" s="211"/>
    </row>
    <row r="26" spans="1:23">
      <c r="A26" s="211"/>
      <c r="B26" s="211"/>
      <c r="C26" s="211"/>
      <c r="D26" s="211"/>
      <c r="E26" s="211"/>
      <c r="F26" s="211"/>
      <c r="G26" s="211"/>
      <c r="H26" s="335"/>
      <c r="I26" s="335"/>
      <c r="J26" s="335"/>
      <c r="K26" s="335"/>
      <c r="L26" s="335"/>
      <c r="M26" s="336"/>
      <c r="N26" s="336"/>
      <c r="O26" s="336"/>
      <c r="P26" s="336"/>
      <c r="Q26" s="211"/>
      <c r="R26" s="211"/>
      <c r="S26" s="211"/>
      <c r="T26" s="335"/>
      <c r="U26" s="211"/>
      <c r="V26" s="211"/>
      <c r="W26" s="211"/>
    </row>
    <row r="27" spans="1:23" ht="13.5" thickBot="1">
      <c r="A27" s="211"/>
      <c r="B27" s="211"/>
      <c r="C27" s="211"/>
      <c r="D27" s="211"/>
      <c r="E27" s="211"/>
      <c r="F27" s="211"/>
      <c r="G27" s="211"/>
      <c r="H27" s="335"/>
      <c r="I27" s="335"/>
      <c r="J27" s="335"/>
      <c r="K27" s="335"/>
      <c r="L27" s="335"/>
      <c r="M27" s="336"/>
      <c r="N27" s="336"/>
      <c r="O27" s="336"/>
      <c r="P27" s="336"/>
      <c r="Q27" s="211"/>
      <c r="R27" s="211"/>
      <c r="S27" s="211"/>
      <c r="T27" s="335"/>
      <c r="U27" s="211"/>
      <c r="V27" s="211"/>
      <c r="W27" s="211"/>
    </row>
    <row r="28" spans="1:23" ht="15.75" thickBot="1">
      <c r="A28" s="491" t="s">
        <v>339</v>
      </c>
      <c r="B28" s="492"/>
      <c r="C28" s="493"/>
      <c r="D28" s="468">
        <v>12635.76</v>
      </c>
      <c r="M28" s="336"/>
      <c r="N28" s="336"/>
      <c r="O28" s="336"/>
      <c r="P28" s="336"/>
      <c r="S28" s="283"/>
    </row>
    <row r="29" spans="1:23">
      <c r="A29" s="133"/>
      <c r="B29" s="133"/>
      <c r="C29" s="133"/>
    </row>
    <row r="31" spans="1:23">
      <c r="A31" s="338"/>
      <c r="M31" s="336"/>
      <c r="N31" s="336"/>
      <c r="O31" s="336"/>
      <c r="P31" s="336"/>
    </row>
    <row r="32" spans="1:23">
      <c r="M32" s="337"/>
      <c r="N32" s="337"/>
      <c r="O32" s="337"/>
      <c r="P32" s="337"/>
    </row>
    <row r="33" spans="13:16">
      <c r="M33" s="337"/>
      <c r="N33" s="337"/>
      <c r="O33" s="337"/>
      <c r="P33" s="337"/>
    </row>
  </sheetData>
  <sheetProtection sheet="1" objects="1" scenarios="1"/>
  <mergeCells count="1">
    <mergeCell ref="A28:C28"/>
  </mergeCell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499984740745262"/>
    <pageSetUpPr fitToPage="1"/>
  </sheetPr>
  <dimension ref="A1:U126"/>
  <sheetViews>
    <sheetView zoomScale="85" zoomScaleNormal="85" workbookViewId="0">
      <selection activeCell="F2" sqref="F2"/>
    </sheetView>
  </sheetViews>
  <sheetFormatPr defaultColWidth="11.42578125" defaultRowHeight="12.75"/>
  <cols>
    <col min="1" max="1" width="19.7109375" customWidth="1"/>
    <col min="2" max="2" width="7.140625" customWidth="1"/>
    <col min="3" max="3" width="52.42578125" customWidth="1"/>
    <col min="4" max="4" width="15.42578125" customWidth="1"/>
    <col min="5" max="5" width="13.85546875" customWidth="1"/>
    <col min="6" max="6" width="15" customWidth="1"/>
    <col min="7" max="7" width="15.140625" customWidth="1"/>
    <col min="8" max="8" width="14.85546875" customWidth="1"/>
    <col min="9" max="9" width="14.5703125" customWidth="1"/>
    <col min="10" max="10" width="15.5703125" customWidth="1"/>
    <col min="11" max="11" width="15" customWidth="1"/>
    <col min="12" max="13" width="14.5703125" customWidth="1"/>
    <col min="14" max="14" width="13.42578125" customWidth="1"/>
    <col min="15" max="15" width="14.5703125" customWidth="1"/>
    <col min="16" max="16" width="18.42578125" customWidth="1"/>
    <col min="17" max="17" width="15.42578125" customWidth="1"/>
    <col min="18" max="18" width="16.85546875" customWidth="1"/>
    <col min="19" max="19" width="15.140625" customWidth="1"/>
    <col min="20" max="20" width="21.5703125" customWidth="1"/>
    <col min="21" max="21" width="14.5703125" customWidth="1"/>
    <col min="22" max="22" width="13.85546875" customWidth="1"/>
    <col min="23" max="23" width="13.140625" customWidth="1"/>
    <col min="24" max="24" width="13.42578125" customWidth="1"/>
    <col min="25" max="25" width="17.85546875" bestFit="1" customWidth="1"/>
    <col min="26" max="26" width="24.5703125" customWidth="1"/>
    <col min="27" max="27" width="14.140625" bestFit="1" customWidth="1"/>
    <col min="28" max="28" width="14.85546875" customWidth="1"/>
  </cols>
  <sheetData>
    <row r="1" spans="1:19" ht="12.75" customHeight="1">
      <c r="L1" s="1"/>
      <c r="M1" s="1"/>
    </row>
    <row r="2" spans="1:19" ht="12.75" customHeight="1"/>
    <row r="3" spans="1:19" ht="12.75" customHeight="1">
      <c r="C3" s="17" t="s">
        <v>354</v>
      </c>
      <c r="D3" s="467">
        <v>189</v>
      </c>
    </row>
    <row r="4" spans="1:19" ht="12.75" customHeight="1">
      <c r="C4" t="s">
        <v>355</v>
      </c>
      <c r="D4" s="268">
        <v>116.44</v>
      </c>
    </row>
    <row r="5" spans="1:19" ht="12.75" customHeight="1">
      <c r="C5" t="s">
        <v>358</v>
      </c>
      <c r="D5" s="268">
        <v>176.67</v>
      </c>
    </row>
    <row r="6" spans="1:19" ht="12.75" customHeight="1">
      <c r="C6" s="1"/>
      <c r="D6" s="1"/>
    </row>
    <row r="7" spans="1:19" ht="12.75" customHeight="1">
      <c r="C7" s="552"/>
      <c r="D7" s="552"/>
      <c r="E7" s="552"/>
      <c r="F7" s="31"/>
      <c r="H7" s="187"/>
      <c r="I7" s="72"/>
      <c r="J7" s="72"/>
      <c r="K7" s="31"/>
      <c r="O7" s="31"/>
    </row>
    <row r="8" spans="1:19" ht="23.25">
      <c r="C8" s="121" t="s">
        <v>356</v>
      </c>
      <c r="D8" s="466" t="s">
        <v>32</v>
      </c>
      <c r="E8" s="466" t="s">
        <v>38</v>
      </c>
      <c r="F8" s="466" t="s">
        <v>37</v>
      </c>
      <c r="G8" s="466" t="s">
        <v>39</v>
      </c>
      <c r="H8" s="466" t="s">
        <v>40</v>
      </c>
      <c r="I8" s="466" t="s">
        <v>41</v>
      </c>
      <c r="J8" s="466" t="s">
        <v>42</v>
      </c>
      <c r="K8" s="466" t="s">
        <v>43</v>
      </c>
      <c r="L8" s="466" t="s">
        <v>44</v>
      </c>
      <c r="M8" s="466" t="s">
        <v>357</v>
      </c>
      <c r="N8" s="466" t="s">
        <v>45</v>
      </c>
      <c r="O8" s="466" t="s">
        <v>46</v>
      </c>
      <c r="P8" s="466" t="s">
        <v>47</v>
      </c>
      <c r="Q8" s="466" t="s">
        <v>48</v>
      </c>
      <c r="R8" s="120" t="s">
        <v>14</v>
      </c>
    </row>
    <row r="9" spans="1:19">
      <c r="A9" s="494" t="s">
        <v>80</v>
      </c>
      <c r="B9" s="495" t="s">
        <v>128</v>
      </c>
      <c r="C9" s="280" t="s">
        <v>67</v>
      </c>
      <c r="D9" s="410">
        <v>-89325.703573020684</v>
      </c>
      <c r="E9" s="393">
        <v>-615489.04424022255</v>
      </c>
      <c r="F9" s="393">
        <v>-203839.63511526413</v>
      </c>
      <c r="G9" s="393">
        <v>-60822.573291088011</v>
      </c>
      <c r="H9" s="393">
        <v>-118125.5906561357</v>
      </c>
      <c r="I9" s="393">
        <v>-156003.06190877705</v>
      </c>
      <c r="J9" s="393">
        <v>-266317.32118122565</v>
      </c>
      <c r="K9" s="393">
        <v>-40332.68110023396</v>
      </c>
      <c r="L9" s="393">
        <v>-386678.96405451489</v>
      </c>
      <c r="M9" s="393">
        <v>-18293.835648</v>
      </c>
      <c r="N9" s="393">
        <v>-448602.57954723877</v>
      </c>
      <c r="O9" s="393">
        <v>-70624.346879232398</v>
      </c>
      <c r="P9" s="393">
        <v>-475037.53798179346</v>
      </c>
      <c r="Q9" s="393">
        <v>-562374.56001825747</v>
      </c>
      <c r="R9" s="393">
        <v>-3664465.3701006463</v>
      </c>
      <c r="S9" s="198"/>
    </row>
    <row r="10" spans="1:19">
      <c r="A10" s="494"/>
      <c r="B10" s="495"/>
      <c r="C10" s="82" t="s">
        <v>51</v>
      </c>
      <c r="D10" s="394">
        <v>-56115.33</v>
      </c>
      <c r="E10" s="394">
        <v>-398108.84</v>
      </c>
      <c r="F10" s="394">
        <v>-147884.16</v>
      </c>
      <c r="G10" s="394">
        <v>-38424.019999999997</v>
      </c>
      <c r="H10" s="394">
        <v>-84344.21</v>
      </c>
      <c r="I10" s="394">
        <v>-110772.84</v>
      </c>
      <c r="J10" s="394">
        <v>-169115.18</v>
      </c>
      <c r="K10" s="394">
        <v>-29490.9</v>
      </c>
      <c r="L10" s="394">
        <v>-273510.15999999997</v>
      </c>
      <c r="M10" s="394">
        <v>-15228.64</v>
      </c>
      <c r="N10" s="394">
        <v>-299971.56</v>
      </c>
      <c r="O10" s="394">
        <v>-54242.16</v>
      </c>
      <c r="P10" s="394">
        <v>-371878.11</v>
      </c>
      <c r="Q10" s="394">
        <v>-421343.89</v>
      </c>
      <c r="R10" s="394">
        <v>-2470430</v>
      </c>
    </row>
    <row r="11" spans="1:19">
      <c r="A11" s="494"/>
      <c r="B11" s="495"/>
      <c r="C11" s="199" t="s">
        <v>70</v>
      </c>
      <c r="D11" s="394">
        <v>-1863.0289560000001</v>
      </c>
      <c r="E11" s="394">
        <v>-13217.213488000001</v>
      </c>
      <c r="F11" s="394">
        <v>-4909.7541120000005</v>
      </c>
      <c r="G11" s="394">
        <v>-1275.6774639999999</v>
      </c>
      <c r="H11" s="394">
        <v>-2800.2277720000002</v>
      </c>
      <c r="I11" s="394">
        <v>-3677.6582880000001</v>
      </c>
      <c r="J11" s="394">
        <v>-5614.6239759999999</v>
      </c>
      <c r="K11" s="394">
        <v>-979.09788000000003</v>
      </c>
      <c r="L11" s="394">
        <v>-9080.5373119999986</v>
      </c>
      <c r="M11" s="394">
        <v>-505.59084799999999</v>
      </c>
      <c r="N11" s="394">
        <v>-9959.0557919999992</v>
      </c>
      <c r="O11" s="394">
        <v>-1800.8397120000002</v>
      </c>
      <c r="P11" s="394">
        <v>-12346.353251999999</v>
      </c>
      <c r="Q11" s="394">
        <v>-13988.617148000001</v>
      </c>
      <c r="R11" s="394">
        <v>-82018.276000000013</v>
      </c>
    </row>
    <row r="12" spans="1:19">
      <c r="A12" s="494"/>
      <c r="B12" s="495"/>
      <c r="C12" s="279" t="s">
        <v>197</v>
      </c>
      <c r="D12" s="395">
        <v>-832</v>
      </c>
      <c r="E12" s="396">
        <v>-48388.22</v>
      </c>
      <c r="F12" s="396">
        <v>-2174.6999999999998</v>
      </c>
      <c r="G12" s="396">
        <v>-665.66</v>
      </c>
      <c r="H12" s="396">
        <v>-6377.28</v>
      </c>
      <c r="I12" s="396">
        <v>-6474.96</v>
      </c>
      <c r="J12" s="396">
        <v>-3188.64</v>
      </c>
      <c r="K12" s="396"/>
      <c r="L12" s="396">
        <v>-15013.18</v>
      </c>
      <c r="M12" s="396"/>
      <c r="N12" s="396">
        <v>-28127.16</v>
      </c>
      <c r="O12" s="396"/>
      <c r="P12" s="396">
        <v>-1794.26</v>
      </c>
      <c r="Q12" s="396">
        <v>-663.59999999999991</v>
      </c>
      <c r="R12" s="394">
        <v>-113699.66000000002</v>
      </c>
    </row>
    <row r="13" spans="1:19">
      <c r="A13" s="494"/>
      <c r="B13" s="495"/>
      <c r="C13" s="279" t="s">
        <v>360</v>
      </c>
      <c r="D13" s="395"/>
      <c r="E13" s="396"/>
      <c r="F13" s="396"/>
      <c r="G13" s="396"/>
      <c r="H13" s="396"/>
      <c r="I13" s="396"/>
      <c r="J13" s="396"/>
      <c r="K13" s="396"/>
      <c r="L13" s="396"/>
      <c r="M13" s="396"/>
      <c r="N13" s="396"/>
      <c r="O13" s="396"/>
      <c r="P13" s="396"/>
      <c r="Q13" s="396"/>
      <c r="R13" s="394">
        <v>-22000</v>
      </c>
    </row>
    <row r="14" spans="1:19">
      <c r="A14" s="494"/>
      <c r="B14" s="495"/>
      <c r="C14" s="279" t="s">
        <v>381</v>
      </c>
      <c r="D14" s="395"/>
      <c r="E14" s="396"/>
      <c r="F14" s="396"/>
      <c r="G14" s="396"/>
      <c r="H14" s="396"/>
      <c r="I14" s="396"/>
      <c r="J14" s="396"/>
      <c r="K14" s="396"/>
      <c r="L14" s="396"/>
      <c r="M14" s="396"/>
      <c r="N14" s="396"/>
      <c r="O14" s="396"/>
      <c r="P14" s="396"/>
      <c r="Q14" s="396"/>
      <c r="R14" s="394">
        <v>-130000</v>
      </c>
    </row>
    <row r="15" spans="1:19">
      <c r="A15" s="494"/>
      <c r="B15" s="495"/>
      <c r="C15" s="241" t="s">
        <v>113</v>
      </c>
      <c r="D15" s="397">
        <v>-7537.1612000000005</v>
      </c>
      <c r="E15" s="398">
        <v>-27754.6384</v>
      </c>
      <c r="F15" s="398">
        <v>-7547.6407999999992</v>
      </c>
      <c r="G15" s="398">
        <v>-4335.0611999999992</v>
      </c>
      <c r="H15" s="398">
        <v>-5278.2251999999999</v>
      </c>
      <c r="I15" s="398">
        <v>-5916.3163999999997</v>
      </c>
      <c r="J15" s="398">
        <v>-14058.9656</v>
      </c>
      <c r="K15" s="398">
        <v>-1150.4272000000001</v>
      </c>
      <c r="L15" s="398">
        <v>-14104.377199999999</v>
      </c>
      <c r="M15" s="398">
        <v>-223.56479999999999</v>
      </c>
      <c r="N15" s="398">
        <v>-16907.088</v>
      </c>
      <c r="O15" s="398">
        <v>-1646.4616000000001</v>
      </c>
      <c r="P15" s="398">
        <v>-14978.841599999998</v>
      </c>
      <c r="Q15" s="398">
        <v>-25329.193199999998</v>
      </c>
      <c r="R15" s="397">
        <v>-146767.96239999999</v>
      </c>
    </row>
    <row r="16" spans="1:19">
      <c r="A16" s="494"/>
      <c r="B16" s="495"/>
      <c r="C16" s="82" t="s">
        <v>54</v>
      </c>
      <c r="D16" s="397">
        <v>-20774.88</v>
      </c>
      <c r="E16" s="397">
        <v>-112388.84999999999</v>
      </c>
      <c r="F16" s="397">
        <v>-35516.879999999997</v>
      </c>
      <c r="G16" s="397">
        <v>-14613.48</v>
      </c>
      <c r="H16" s="397">
        <v>-16013.970000000001</v>
      </c>
      <c r="I16" s="397">
        <v>-24811.920000000002</v>
      </c>
      <c r="J16" s="397">
        <v>-67699.8</v>
      </c>
      <c r="K16" s="397">
        <v>-7554.33</v>
      </c>
      <c r="L16" s="397">
        <v>-64231.65</v>
      </c>
      <c r="M16" s="397">
        <v>-2336.04</v>
      </c>
      <c r="N16" s="397">
        <v>-81859.680000000008</v>
      </c>
      <c r="O16" s="397">
        <v>-10805.130000000001</v>
      </c>
      <c r="P16" s="397">
        <v>-59438.61</v>
      </c>
      <c r="Q16" s="397">
        <v>-84505.680000000008</v>
      </c>
      <c r="R16" s="397">
        <v>-602550.9</v>
      </c>
    </row>
    <row r="17" spans="1:19">
      <c r="A17" s="494"/>
      <c r="B17" s="495"/>
      <c r="C17" s="82" t="s">
        <v>263</v>
      </c>
      <c r="D17" s="397">
        <v>-2203.303417020687</v>
      </c>
      <c r="E17" s="397">
        <v>-15631.282352222503</v>
      </c>
      <c r="F17" s="397">
        <v>-5806.5002032641341</v>
      </c>
      <c r="G17" s="397">
        <v>-1508.6746270880203</v>
      </c>
      <c r="H17" s="397">
        <v>-3311.6776841356968</v>
      </c>
      <c r="I17" s="397">
        <v>-4349.3672207770287</v>
      </c>
      <c r="J17" s="397">
        <v>-6640.1116052256757</v>
      </c>
      <c r="K17" s="397">
        <v>-1157.9260202339606</v>
      </c>
      <c r="L17" s="397">
        <v>-10739.059542514937</v>
      </c>
      <c r="M17" s="397"/>
      <c r="N17" s="397">
        <v>-11778.035755238827</v>
      </c>
      <c r="O17" s="397">
        <v>-2129.7555672323915</v>
      </c>
      <c r="P17" s="397">
        <v>-14601.363129793495</v>
      </c>
      <c r="Q17" s="397">
        <v>-16543.579670257459</v>
      </c>
      <c r="R17" s="397">
        <v>-96998.571700646062</v>
      </c>
    </row>
    <row r="18" spans="1:19">
      <c r="A18" s="494"/>
      <c r="B18" s="495"/>
      <c r="C18" s="83" t="s">
        <v>68</v>
      </c>
      <c r="D18" s="399">
        <v>0</v>
      </c>
      <c r="E18" s="399">
        <v>0</v>
      </c>
      <c r="F18" s="399">
        <v>0</v>
      </c>
      <c r="G18" s="399">
        <v>0</v>
      </c>
      <c r="H18" s="399">
        <v>0</v>
      </c>
      <c r="I18" s="399">
        <v>0</v>
      </c>
      <c r="J18" s="399">
        <v>0</v>
      </c>
      <c r="K18" s="399">
        <v>0</v>
      </c>
      <c r="L18" s="399">
        <v>0</v>
      </c>
      <c r="M18" s="399"/>
      <c r="N18" s="399">
        <v>0</v>
      </c>
      <c r="O18" s="399">
        <v>0</v>
      </c>
      <c r="P18" s="399">
        <v>0</v>
      </c>
      <c r="Q18" s="399">
        <v>0</v>
      </c>
      <c r="R18" s="399">
        <v>1041463.0109999999</v>
      </c>
    </row>
    <row r="19" spans="1:19">
      <c r="A19" s="494"/>
      <c r="B19" s="495"/>
      <c r="C19" s="82" t="s">
        <v>264</v>
      </c>
      <c r="D19" s="400"/>
      <c r="E19" s="400"/>
      <c r="F19" s="400"/>
      <c r="G19" s="400"/>
      <c r="H19" s="400"/>
      <c r="I19" s="400"/>
      <c r="J19" s="400"/>
      <c r="K19" s="400"/>
      <c r="L19" s="400"/>
      <c r="M19" s="400"/>
      <c r="N19" s="400"/>
      <c r="O19" s="400"/>
      <c r="P19" s="400"/>
      <c r="Q19" s="400"/>
      <c r="R19" s="397">
        <v>527689.18999999994</v>
      </c>
    </row>
    <row r="20" spans="1:19">
      <c r="A20" s="494"/>
      <c r="B20" s="495"/>
      <c r="C20" s="82" t="s">
        <v>268</v>
      </c>
      <c r="D20" s="400"/>
      <c r="E20" s="400"/>
      <c r="F20" s="400"/>
      <c r="G20" s="400"/>
      <c r="H20" s="400"/>
      <c r="I20" s="400"/>
      <c r="J20" s="400"/>
      <c r="K20" s="400"/>
      <c r="L20" s="400"/>
      <c r="M20" s="400"/>
      <c r="N20" s="400"/>
      <c r="O20" s="400"/>
      <c r="P20" s="400"/>
      <c r="Q20" s="400"/>
      <c r="R20" s="397">
        <v>46461.47</v>
      </c>
    </row>
    <row r="21" spans="1:19">
      <c r="A21" s="494"/>
      <c r="B21" s="495"/>
      <c r="C21" s="82" t="s">
        <v>266</v>
      </c>
      <c r="D21" s="400"/>
      <c r="E21" s="400"/>
      <c r="F21" s="400"/>
      <c r="G21" s="400"/>
      <c r="H21" s="400"/>
      <c r="I21" s="400"/>
      <c r="J21" s="400"/>
      <c r="K21" s="400"/>
      <c r="L21" s="400"/>
      <c r="M21" s="400"/>
      <c r="N21" s="400"/>
      <c r="O21" s="400"/>
      <c r="P21" s="400"/>
      <c r="Q21" s="400"/>
      <c r="R21" s="397">
        <v>34937.243000000002</v>
      </c>
    </row>
    <row r="22" spans="1:19">
      <c r="A22" s="494"/>
      <c r="B22" s="495"/>
      <c r="C22" s="82" t="s">
        <v>265</v>
      </c>
      <c r="D22" s="400"/>
      <c r="E22" s="400"/>
      <c r="F22" s="400"/>
      <c r="G22" s="400"/>
      <c r="H22" s="400"/>
      <c r="I22" s="400"/>
      <c r="J22" s="400"/>
      <c r="K22" s="400"/>
      <c r="L22" s="400"/>
      <c r="M22" s="400"/>
      <c r="N22" s="400"/>
      <c r="O22" s="400"/>
      <c r="P22" s="400"/>
      <c r="Q22" s="400"/>
      <c r="R22" s="397">
        <v>369482.32200000004</v>
      </c>
    </row>
    <row r="23" spans="1:19">
      <c r="A23" s="494"/>
      <c r="B23" s="495"/>
      <c r="C23" s="82" t="s">
        <v>267</v>
      </c>
      <c r="D23" s="400"/>
      <c r="E23" s="400"/>
      <c r="F23" s="400"/>
      <c r="G23" s="400"/>
      <c r="H23" s="400"/>
      <c r="I23" s="400"/>
      <c r="J23" s="400"/>
      <c r="K23" s="400"/>
      <c r="L23" s="400"/>
      <c r="M23" s="400"/>
      <c r="N23" s="400"/>
      <c r="O23" s="400"/>
      <c r="P23" s="400"/>
      <c r="Q23" s="400"/>
      <c r="R23" s="397">
        <v>62892.786000000007</v>
      </c>
    </row>
    <row r="24" spans="1:19">
      <c r="A24" s="494"/>
      <c r="B24" s="495"/>
      <c r="C24" s="242" t="s">
        <v>130</v>
      </c>
      <c r="D24" s="401">
        <v>-89325.703573020684</v>
      </c>
      <c r="E24" s="401">
        <v>-615489.04424022255</v>
      </c>
      <c r="F24" s="401">
        <v>-203839.63511526413</v>
      </c>
      <c r="G24" s="401">
        <v>-60822.573291088011</v>
      </c>
      <c r="H24" s="401">
        <v>-118125.5906561357</v>
      </c>
      <c r="I24" s="401">
        <v>-156003.06190877705</v>
      </c>
      <c r="J24" s="401">
        <v>-266317.32118122565</v>
      </c>
      <c r="K24" s="401">
        <v>-40332.68110023396</v>
      </c>
      <c r="L24" s="401">
        <v>-386678.96405451489</v>
      </c>
      <c r="M24" s="401">
        <v>-18293.835648</v>
      </c>
      <c r="N24" s="401">
        <v>-448602.57954723877</v>
      </c>
      <c r="O24" s="401">
        <v>-70624.346879232398</v>
      </c>
      <c r="P24" s="401">
        <v>-475037.53798179346</v>
      </c>
      <c r="Q24" s="402">
        <v>-562374.56001825747</v>
      </c>
      <c r="R24" s="402">
        <v>-2623002.3591006463</v>
      </c>
    </row>
    <row r="25" spans="1:19" ht="17.25" customHeight="1">
      <c r="A25" s="494"/>
      <c r="B25" s="496" t="s">
        <v>359</v>
      </c>
      <c r="C25" s="243" t="s">
        <v>71</v>
      </c>
      <c r="D25" s="403">
        <v>-4039.42</v>
      </c>
      <c r="E25" s="404">
        <v>-20451.574000000001</v>
      </c>
      <c r="F25" s="404">
        <v>-6350.0800000000008</v>
      </c>
      <c r="G25" s="404">
        <v>-3276.9990000000003</v>
      </c>
      <c r="H25" s="404">
        <v>-4261.4000000000005</v>
      </c>
      <c r="I25" s="404">
        <v>-4578.42</v>
      </c>
      <c r="J25" s="404">
        <v>-14988.501</v>
      </c>
      <c r="K25" s="404">
        <v>-2800.2919999999999</v>
      </c>
      <c r="L25" s="404">
        <v>-17738.622000000003</v>
      </c>
      <c r="M25" s="404">
        <v>-2373.6460000000002</v>
      </c>
      <c r="N25" s="404"/>
      <c r="O25" s="404">
        <v>-3198.3490000000006</v>
      </c>
      <c r="P25" s="404">
        <v>-16923.940000000002</v>
      </c>
      <c r="Q25" s="404">
        <v>-14999.797340000003</v>
      </c>
      <c r="R25" s="397">
        <v>-115981.04034000001</v>
      </c>
    </row>
    <row r="26" spans="1:19">
      <c r="A26" s="494"/>
      <c r="B26" s="496"/>
      <c r="C26" s="243" t="s">
        <v>361</v>
      </c>
      <c r="D26" s="405"/>
      <c r="E26" s="404">
        <v>-35310.83</v>
      </c>
      <c r="F26" s="405"/>
      <c r="G26" s="405"/>
      <c r="H26" s="405"/>
      <c r="I26" s="404"/>
      <c r="J26" s="404"/>
      <c r="K26" s="405"/>
      <c r="L26" s="404">
        <v>-7500.2400000000016</v>
      </c>
      <c r="M26" s="405"/>
      <c r="N26" s="404">
        <v>-18182.400000000001</v>
      </c>
      <c r="O26" s="405"/>
      <c r="P26" s="404">
        <v>-15909.600000000002</v>
      </c>
      <c r="Q26" s="404">
        <v>-6818.4000000000005</v>
      </c>
      <c r="R26" s="397">
        <v>-83721.47</v>
      </c>
    </row>
    <row r="27" spans="1:19">
      <c r="A27" s="494"/>
      <c r="B27" s="496"/>
      <c r="C27" s="243" t="s">
        <v>362</v>
      </c>
      <c r="D27" s="405"/>
      <c r="E27" s="404"/>
      <c r="F27" s="405"/>
      <c r="G27" s="405"/>
      <c r="H27" s="404">
        <v>-6000</v>
      </c>
      <c r="I27" s="404">
        <v>-1600</v>
      </c>
      <c r="J27" s="405"/>
      <c r="K27" s="405"/>
      <c r="L27" s="404"/>
      <c r="M27" s="405"/>
      <c r="N27" s="404"/>
      <c r="O27" s="405"/>
      <c r="P27" s="404"/>
      <c r="Q27" s="404">
        <v>-5772.57</v>
      </c>
      <c r="R27" s="397">
        <v>-13372.57</v>
      </c>
    </row>
    <row r="28" spans="1:19">
      <c r="A28" s="494"/>
      <c r="B28" s="496"/>
      <c r="C28" s="243" t="s">
        <v>269</v>
      </c>
      <c r="D28" s="406"/>
      <c r="E28" s="404">
        <v>-1798.3680000000002</v>
      </c>
      <c r="F28" s="405"/>
      <c r="G28" s="405"/>
      <c r="H28" s="404">
        <v>-1489.7080000000001</v>
      </c>
      <c r="I28" s="404">
        <v>-268.334</v>
      </c>
      <c r="J28" s="405"/>
      <c r="K28" s="405"/>
      <c r="L28" s="404">
        <v>-740.21199999999999</v>
      </c>
      <c r="M28" s="405"/>
      <c r="N28" s="404">
        <v>-1793.5280000000002</v>
      </c>
      <c r="O28" s="405"/>
      <c r="P28" s="404">
        <v>-1704.1640000000002</v>
      </c>
      <c r="Q28" s="404">
        <v>-935.85800000000006</v>
      </c>
      <c r="R28" s="397">
        <v>-8730.1720000000005</v>
      </c>
    </row>
    <row r="29" spans="1:19">
      <c r="A29" s="494"/>
      <c r="B29" s="496"/>
      <c r="C29" s="243" t="s">
        <v>270</v>
      </c>
      <c r="D29" s="403">
        <v>-1072.28</v>
      </c>
      <c r="E29" s="404">
        <v>-3819.18</v>
      </c>
      <c r="F29" s="404">
        <v>-1321.98</v>
      </c>
      <c r="G29" s="404">
        <v>-525.72</v>
      </c>
      <c r="H29" s="404">
        <v>-1217</v>
      </c>
      <c r="I29" s="404">
        <v>-722.44</v>
      </c>
      <c r="J29" s="404">
        <v>-3674.84</v>
      </c>
      <c r="K29" s="404">
        <v>-410.38</v>
      </c>
      <c r="L29" s="404">
        <v>-3512.82</v>
      </c>
      <c r="M29" s="404"/>
      <c r="N29" s="404"/>
      <c r="O29" s="404">
        <v>-493.48</v>
      </c>
      <c r="P29" s="404">
        <v>-3340.42</v>
      </c>
      <c r="Q29" s="404">
        <v>-1728.66</v>
      </c>
      <c r="R29" s="397">
        <v>-21839.200000000001</v>
      </c>
    </row>
    <row r="30" spans="1:19">
      <c r="A30" s="494"/>
      <c r="B30" s="496"/>
      <c r="C30" s="243" t="s">
        <v>73</v>
      </c>
      <c r="D30" s="405"/>
      <c r="E30" s="404">
        <v>-44780.29</v>
      </c>
      <c r="F30" s="404">
        <v>-15740.51</v>
      </c>
      <c r="G30" s="404">
        <v>-4336.8900000000003</v>
      </c>
      <c r="H30" s="404">
        <v>-2677.1024999999995</v>
      </c>
      <c r="I30" s="404">
        <v>-7358.98</v>
      </c>
      <c r="J30" s="404">
        <v>-9887.9599999999991</v>
      </c>
      <c r="K30" s="404">
        <v>-2379.23</v>
      </c>
      <c r="L30" s="405"/>
      <c r="M30" s="404">
        <v>-551.23</v>
      </c>
      <c r="N30" s="404">
        <v>-53234.59</v>
      </c>
      <c r="O30" s="404">
        <v>-2744.57</v>
      </c>
      <c r="P30" s="404">
        <v>-19010.955000000002</v>
      </c>
      <c r="Q30" s="404">
        <v>-32280.160000000003</v>
      </c>
      <c r="R30" s="397">
        <v>-194982.4675</v>
      </c>
      <c r="S30" s="20"/>
    </row>
    <row r="31" spans="1:19">
      <c r="A31" s="494"/>
      <c r="B31" s="496"/>
      <c r="C31" s="243" t="s">
        <v>317</v>
      </c>
      <c r="D31" s="403"/>
      <c r="E31" s="403"/>
      <c r="F31" s="404"/>
      <c r="G31" s="404">
        <v>-3525.12</v>
      </c>
      <c r="H31" s="404">
        <v>-3525.12</v>
      </c>
      <c r="I31" s="404">
        <v>-1175.04</v>
      </c>
      <c r="J31" s="404">
        <v>-4524</v>
      </c>
      <c r="K31" s="404"/>
      <c r="L31" s="404"/>
      <c r="M31" s="404"/>
      <c r="N31" s="404"/>
      <c r="O31" s="404"/>
      <c r="P31" s="404"/>
      <c r="Q31" s="404"/>
      <c r="R31" s="397">
        <v>-12749.279999999999</v>
      </c>
    </row>
    <row r="32" spans="1:19">
      <c r="A32" s="494"/>
      <c r="B32" s="496"/>
      <c r="C32" s="243" t="s">
        <v>72</v>
      </c>
      <c r="D32" s="403">
        <v>0</v>
      </c>
      <c r="E32" s="404">
        <v>0</v>
      </c>
      <c r="F32" s="404">
        <v>0</v>
      </c>
      <c r="G32" s="404"/>
      <c r="H32" s="404"/>
      <c r="I32" s="404">
        <v>0</v>
      </c>
      <c r="J32" s="404">
        <v>0</v>
      </c>
      <c r="K32" s="404">
        <v>0</v>
      </c>
      <c r="L32" s="404"/>
      <c r="M32" s="404"/>
      <c r="N32" s="404"/>
      <c r="O32" s="404"/>
      <c r="P32" s="404">
        <v>0</v>
      </c>
      <c r="Q32" s="404"/>
      <c r="R32" s="397">
        <v>0</v>
      </c>
    </row>
    <row r="33" spans="1:19">
      <c r="A33" s="494"/>
      <c r="B33" s="496"/>
      <c r="C33" s="243" t="s">
        <v>124</v>
      </c>
      <c r="D33" s="406"/>
      <c r="E33" s="411">
        <v>-8789.0400000000009</v>
      </c>
      <c r="F33" s="404">
        <v>-600</v>
      </c>
      <c r="G33" s="404"/>
      <c r="H33" s="405"/>
      <c r="I33" s="404">
        <v>-524.12</v>
      </c>
      <c r="J33" s="404">
        <v>2774</v>
      </c>
      <c r="K33" s="404">
        <v>-185.6</v>
      </c>
      <c r="L33" s="404">
        <v>-6272.16</v>
      </c>
      <c r="M33" s="405"/>
      <c r="N33" s="404">
        <v>-2883.92</v>
      </c>
      <c r="O33" s="405"/>
      <c r="P33" s="404">
        <v>-4986.3999999999996</v>
      </c>
      <c r="Q33" s="404">
        <v>-5989.58</v>
      </c>
      <c r="R33" s="397">
        <v>-27456.820000000007</v>
      </c>
    </row>
    <row r="34" spans="1:19">
      <c r="A34" s="494"/>
      <c r="B34" s="497"/>
      <c r="C34" s="84" t="s">
        <v>131</v>
      </c>
      <c r="D34" s="407">
        <v>-5111.7</v>
      </c>
      <c r="E34" s="407">
        <v>-114949.28200000001</v>
      </c>
      <c r="F34" s="407">
        <v>-24012.57</v>
      </c>
      <c r="G34" s="407">
        <v>-11664.728999999999</v>
      </c>
      <c r="H34" s="407">
        <v>-19170.3305</v>
      </c>
      <c r="I34" s="407">
        <v>-16227.334000000001</v>
      </c>
      <c r="J34" s="407">
        <v>-30301.300999999999</v>
      </c>
      <c r="K34" s="407">
        <v>-5775.5020000000004</v>
      </c>
      <c r="L34" s="407">
        <v>-35764.054000000004</v>
      </c>
      <c r="M34" s="407">
        <v>-2924.8760000000002</v>
      </c>
      <c r="N34" s="407">
        <v>-76094.437999999995</v>
      </c>
      <c r="O34" s="407">
        <v>-6436.3990000000013</v>
      </c>
      <c r="P34" s="407">
        <v>-61875.479000000007</v>
      </c>
      <c r="Q34" s="407">
        <v>-68525.025340000007</v>
      </c>
      <c r="R34" s="407">
        <v>-478833.01984000002</v>
      </c>
    </row>
    <row r="35" spans="1:19" ht="12.75" customHeight="1">
      <c r="A35" s="494"/>
      <c r="B35" s="87" t="s">
        <v>14</v>
      </c>
      <c r="C35" s="89" t="s">
        <v>100</v>
      </c>
      <c r="D35" s="408">
        <v>-94437.403573020682</v>
      </c>
      <c r="E35" s="408">
        <v>-730438.32624022255</v>
      </c>
      <c r="F35" s="408">
        <v>-227852.20511526414</v>
      </c>
      <c r="G35" s="408">
        <v>-72487.30229108801</v>
      </c>
      <c r="H35" s="408">
        <v>-137295.92115613571</v>
      </c>
      <c r="I35" s="408">
        <v>-172230.39590877705</v>
      </c>
      <c r="J35" s="408">
        <v>-296618.62218122563</v>
      </c>
      <c r="K35" s="408">
        <v>-46108.18310023396</v>
      </c>
      <c r="L35" s="408">
        <v>-422443.01805451489</v>
      </c>
      <c r="M35" s="408"/>
      <c r="N35" s="408">
        <v>-524697.01754723873</v>
      </c>
      <c r="O35" s="408">
        <v>-77060.745879232403</v>
      </c>
      <c r="P35" s="408">
        <v>-536913.01698179345</v>
      </c>
      <c r="Q35" s="408">
        <v>-630899.58535825752</v>
      </c>
      <c r="R35" s="409">
        <v>-3101835.3789406465</v>
      </c>
      <c r="S35" s="198"/>
    </row>
    <row r="36" spans="1:19" ht="12.75" customHeight="1">
      <c r="A36" s="284"/>
      <c r="B36" s="285"/>
      <c r="C36" s="286"/>
      <c r="D36" s="287" t="s">
        <v>32</v>
      </c>
      <c r="E36" s="287" t="s">
        <v>38</v>
      </c>
      <c r="F36" s="287" t="s">
        <v>37</v>
      </c>
      <c r="G36" s="287" t="s">
        <v>39</v>
      </c>
      <c r="H36" s="287" t="s">
        <v>40</v>
      </c>
      <c r="I36" s="287" t="s">
        <v>41</v>
      </c>
      <c r="J36" s="287" t="s">
        <v>42</v>
      </c>
      <c r="K36" s="287" t="s">
        <v>43</v>
      </c>
      <c r="L36" s="287" t="s">
        <v>44</v>
      </c>
      <c r="M36" s="287"/>
      <c r="N36" s="287" t="s">
        <v>45</v>
      </c>
      <c r="O36" s="287" t="s">
        <v>46</v>
      </c>
      <c r="P36" s="287" t="s">
        <v>47</v>
      </c>
      <c r="Q36" s="288" t="s">
        <v>48</v>
      </c>
      <c r="R36" s="288"/>
      <c r="S36" s="198"/>
    </row>
    <row r="37" spans="1:19" ht="12.75" customHeight="1">
      <c r="A37" s="499" t="s">
        <v>28</v>
      </c>
      <c r="B37" s="500" t="s">
        <v>14</v>
      </c>
      <c r="C37" s="91" t="s">
        <v>132</v>
      </c>
      <c r="D37" s="92"/>
      <c r="E37" s="92"/>
      <c r="F37" s="92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4"/>
      <c r="R37" s="94"/>
    </row>
    <row r="38" spans="1:19" ht="12.75" customHeight="1">
      <c r="A38" s="499"/>
      <c r="B38" s="501"/>
      <c r="C38" s="95" t="s">
        <v>133</v>
      </c>
      <c r="D38" s="90"/>
      <c r="E38" s="90"/>
      <c r="F38" s="90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7"/>
      <c r="R38" s="97"/>
    </row>
    <row r="39" spans="1:19" ht="12.75" customHeight="1">
      <c r="A39" s="499"/>
      <c r="B39" s="501"/>
      <c r="C39" s="95" t="s">
        <v>134</v>
      </c>
      <c r="D39" s="90"/>
      <c r="E39" s="90"/>
      <c r="F39" s="90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7"/>
      <c r="R39" s="97"/>
    </row>
    <row r="40" spans="1:19" ht="12.75" customHeight="1">
      <c r="A40" s="499"/>
      <c r="B40" s="501"/>
      <c r="C40" s="95"/>
      <c r="D40" s="90"/>
      <c r="E40" s="90"/>
      <c r="F40" s="90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7"/>
      <c r="R40" s="97"/>
    </row>
    <row r="41" spans="1:19" ht="12.75" customHeight="1">
      <c r="A41" s="499"/>
      <c r="B41" s="501"/>
      <c r="C41" s="95"/>
      <c r="D41" s="90"/>
      <c r="E41" s="90"/>
      <c r="F41" s="90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7"/>
      <c r="R41" s="97"/>
    </row>
    <row r="42" spans="1:19" ht="12.75" customHeight="1">
      <c r="A42" s="499"/>
      <c r="B42" s="501"/>
      <c r="C42" s="98"/>
      <c r="D42" s="90"/>
      <c r="E42" s="90"/>
      <c r="F42" s="90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7"/>
      <c r="R42" s="97"/>
      <c r="S42" s="20"/>
    </row>
    <row r="43" spans="1:19" ht="12.75" customHeight="1">
      <c r="A43" s="499"/>
      <c r="B43" s="501"/>
      <c r="C43" s="98"/>
      <c r="D43" s="90"/>
      <c r="E43" s="90"/>
      <c r="F43" s="90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7"/>
      <c r="R43" s="97"/>
      <c r="S43" s="20"/>
    </row>
    <row r="44" spans="1:19" ht="12.75" customHeight="1">
      <c r="A44" s="499"/>
      <c r="B44" s="502"/>
      <c r="C44" s="99"/>
      <c r="D44" s="100"/>
      <c r="E44" s="100"/>
      <c r="F44" s="100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2"/>
      <c r="R44" s="102"/>
      <c r="S44" s="20"/>
    </row>
    <row r="45" spans="1:19" ht="12.75" customHeight="1">
      <c r="A45" s="386"/>
      <c r="B45" s="85"/>
      <c r="C45" s="88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20"/>
    </row>
    <row r="46" spans="1:19" ht="12.75" customHeight="1" thickBot="1">
      <c r="A46" s="104"/>
      <c r="B46" s="104"/>
      <c r="C46" s="104"/>
      <c r="D46" s="86" t="s">
        <v>32</v>
      </c>
      <c r="E46" s="86" t="s">
        <v>38</v>
      </c>
      <c r="F46" s="86" t="s">
        <v>37</v>
      </c>
      <c r="G46" s="86" t="s">
        <v>39</v>
      </c>
      <c r="H46" s="86" t="s">
        <v>40</v>
      </c>
      <c r="I46" s="86" t="s">
        <v>41</v>
      </c>
      <c r="J46" s="86" t="s">
        <v>42</v>
      </c>
      <c r="K46" s="86" t="s">
        <v>43</v>
      </c>
      <c r="L46" s="86" t="s">
        <v>44</v>
      </c>
      <c r="M46" s="86" t="s">
        <v>357</v>
      </c>
      <c r="N46" s="86" t="s">
        <v>45</v>
      </c>
      <c r="O46" s="86" t="s">
        <v>46</v>
      </c>
      <c r="P46" s="86" t="s">
        <v>47</v>
      </c>
      <c r="Q46" s="86" t="s">
        <v>48</v>
      </c>
      <c r="R46" s="86" t="s">
        <v>14</v>
      </c>
      <c r="S46" s="20"/>
    </row>
    <row r="47" spans="1:19" ht="12.75" customHeight="1">
      <c r="A47" s="107" t="s">
        <v>366</v>
      </c>
      <c r="B47" s="108"/>
      <c r="C47" s="108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10"/>
      <c r="S47" s="20"/>
    </row>
    <row r="48" spans="1:19" ht="12.75" customHeight="1">
      <c r="A48" s="111" t="s">
        <v>137</v>
      </c>
      <c r="B48" s="112"/>
      <c r="C48" s="112"/>
      <c r="D48" s="113">
        <v>-5111.7</v>
      </c>
      <c r="E48" s="113">
        <v>-114949.28200000001</v>
      </c>
      <c r="F48" s="113">
        <v>-24012.57</v>
      </c>
      <c r="G48" s="113">
        <v>-11664.728999999999</v>
      </c>
      <c r="H48" s="113">
        <v>-19170.3305</v>
      </c>
      <c r="I48" s="113">
        <v>-16227.334000000001</v>
      </c>
      <c r="J48" s="113">
        <v>-30301.300999999999</v>
      </c>
      <c r="K48" s="113">
        <v>-5775.5020000000004</v>
      </c>
      <c r="L48" s="113">
        <v>-35764.054000000004</v>
      </c>
      <c r="M48" s="113">
        <v>-2924.8760000000002</v>
      </c>
      <c r="N48" s="113">
        <v>-76094.437999999995</v>
      </c>
      <c r="O48" s="113">
        <v>-6436.3990000000013</v>
      </c>
      <c r="P48" s="113">
        <v>-61875.479000000007</v>
      </c>
      <c r="Q48" s="113">
        <v>-68525.025340000007</v>
      </c>
      <c r="R48" s="206">
        <v>-478833.01984000002</v>
      </c>
      <c r="S48" s="20"/>
    </row>
    <row r="49" spans="1:21" ht="12.75" customHeight="1">
      <c r="A49" s="111" t="s">
        <v>320</v>
      </c>
      <c r="B49" s="112"/>
      <c r="C49" s="112"/>
      <c r="D49" s="113">
        <v>-4344.9449999999997</v>
      </c>
      <c r="E49" s="113">
        <v>-97706.8897</v>
      </c>
      <c r="F49" s="113">
        <v>-20410.684499999999</v>
      </c>
      <c r="G49" s="113">
        <v>-9915.0196499999984</v>
      </c>
      <c r="H49" s="113">
        <v>-16294.780924999999</v>
      </c>
      <c r="I49" s="113">
        <v>-13793.233900000001</v>
      </c>
      <c r="J49" s="113">
        <v>-25756.10585</v>
      </c>
      <c r="K49" s="113">
        <v>-4909.1767</v>
      </c>
      <c r="L49" s="113">
        <v>-30399.445900000002</v>
      </c>
      <c r="M49" s="113">
        <v>-2486.1446000000001</v>
      </c>
      <c r="N49" s="113">
        <v>-64680.272299999997</v>
      </c>
      <c r="O49" s="113">
        <v>-5470.9391500000011</v>
      </c>
      <c r="P49" s="113">
        <v>-52594.157150000006</v>
      </c>
      <c r="Q49" s="113">
        <v>-58246.271539000001</v>
      </c>
      <c r="R49" s="206">
        <v>-407008.06686399999</v>
      </c>
      <c r="S49" s="20"/>
    </row>
    <row r="50" spans="1:21" ht="12.75" customHeight="1">
      <c r="A50" s="111" t="s">
        <v>136</v>
      </c>
      <c r="B50" s="112"/>
      <c r="C50" s="112"/>
      <c r="D50" s="209">
        <v>278</v>
      </c>
      <c r="E50" s="209">
        <v>2108</v>
      </c>
      <c r="F50" s="209">
        <v>776</v>
      </c>
      <c r="G50" s="209">
        <v>203</v>
      </c>
      <c r="H50" s="209">
        <v>438</v>
      </c>
      <c r="I50" s="209">
        <v>529</v>
      </c>
      <c r="J50" s="209">
        <v>1032</v>
      </c>
      <c r="K50" s="209">
        <v>169</v>
      </c>
      <c r="L50" s="209">
        <v>1547</v>
      </c>
      <c r="M50" s="209">
        <v>81</v>
      </c>
      <c r="N50" s="209">
        <v>1525</v>
      </c>
      <c r="O50" s="209">
        <v>231</v>
      </c>
      <c r="P50" s="209">
        <v>1425</v>
      </c>
      <c r="Q50" s="209">
        <v>2229</v>
      </c>
      <c r="R50" s="210">
        <v>12768</v>
      </c>
      <c r="S50" s="20"/>
    </row>
    <row r="51" spans="1:21" ht="12.75" customHeight="1" thickBot="1">
      <c r="A51" s="114" t="s">
        <v>323</v>
      </c>
      <c r="B51" s="115"/>
      <c r="C51" s="115"/>
      <c r="D51" s="153">
        <v>-15.629298561151078</v>
      </c>
      <c r="E51" s="153">
        <v>-46.350516935483874</v>
      </c>
      <c r="F51" s="153">
        <v>-26.302428479381444</v>
      </c>
      <c r="G51" s="153">
        <v>-48.842461330049254</v>
      </c>
      <c r="H51" s="153">
        <v>-37.202696175799083</v>
      </c>
      <c r="I51" s="153">
        <v>-26.07416616257089</v>
      </c>
      <c r="J51" s="153">
        <v>-24.957466908914729</v>
      </c>
      <c r="K51" s="153">
        <v>-29.048382840236687</v>
      </c>
      <c r="L51" s="153">
        <v>-19.650579120879122</v>
      </c>
      <c r="M51" s="153">
        <v>-30.693143209876546</v>
      </c>
      <c r="N51" s="153">
        <v>-42.413293311475407</v>
      </c>
      <c r="O51" s="153">
        <v>-23.683719264069268</v>
      </c>
      <c r="P51" s="153">
        <v>-36.908180456140357</v>
      </c>
      <c r="Q51" s="153">
        <v>-26.131122269627635</v>
      </c>
      <c r="R51" s="207">
        <v>-31.877198219298243</v>
      </c>
      <c r="S51" s="20"/>
    </row>
    <row r="52" spans="1:21" ht="12.75" customHeight="1"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20"/>
    </row>
    <row r="53" spans="1:21" s="156" customFormat="1" ht="12.75" customHeight="1">
      <c r="A53"/>
      <c r="B53"/>
      <c r="C53"/>
      <c r="D53" s="154"/>
      <c r="E53" s="154"/>
      <c r="F53" s="154"/>
      <c r="G53" s="154"/>
      <c r="H53" s="154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5"/>
      <c r="T53"/>
    </row>
    <row r="54" spans="1:21" ht="12.75" hidden="1" customHeight="1"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20"/>
    </row>
    <row r="55" spans="1:21" ht="12.75" hidden="1" customHeight="1">
      <c r="A55" t="s">
        <v>143</v>
      </c>
      <c r="D55" s="86" t="s">
        <v>32</v>
      </c>
      <c r="E55" s="86" t="s">
        <v>38</v>
      </c>
      <c r="F55" s="86" t="s">
        <v>37</v>
      </c>
      <c r="G55" s="86" t="s">
        <v>39</v>
      </c>
      <c r="H55" s="86" t="s">
        <v>40</v>
      </c>
      <c r="I55" s="86" t="s">
        <v>41</v>
      </c>
      <c r="J55" s="86" t="s">
        <v>42</v>
      </c>
      <c r="K55" s="86" t="s">
        <v>43</v>
      </c>
      <c r="L55" s="86" t="s">
        <v>44</v>
      </c>
      <c r="M55" s="86"/>
      <c r="N55" s="86" t="s">
        <v>45</v>
      </c>
      <c r="O55" s="86" t="s">
        <v>46</v>
      </c>
      <c r="P55" s="86" t="s">
        <v>47</v>
      </c>
      <c r="Q55" s="86" t="s">
        <v>48</v>
      </c>
      <c r="R55" s="86" t="s">
        <v>14</v>
      </c>
      <c r="S55" s="20"/>
    </row>
    <row r="56" spans="1:21" s="133" customFormat="1" hidden="1">
      <c r="A56" t="s">
        <v>144</v>
      </c>
      <c r="B56"/>
      <c r="C56"/>
      <c r="D56" s="134">
        <f t="shared" ref="D56:L56" si="0">D50</f>
        <v>278</v>
      </c>
      <c r="E56" s="134">
        <f t="shared" si="0"/>
        <v>2108</v>
      </c>
      <c r="F56" s="134">
        <f t="shared" si="0"/>
        <v>776</v>
      </c>
      <c r="G56" s="134">
        <f t="shared" si="0"/>
        <v>203</v>
      </c>
      <c r="H56" s="134">
        <f t="shared" si="0"/>
        <v>438</v>
      </c>
      <c r="I56" s="134">
        <f t="shared" si="0"/>
        <v>529</v>
      </c>
      <c r="J56" s="134">
        <f t="shared" si="0"/>
        <v>1032</v>
      </c>
      <c r="K56" s="134">
        <f t="shared" si="0"/>
        <v>169</v>
      </c>
      <c r="L56" s="134">
        <f t="shared" si="0"/>
        <v>1547</v>
      </c>
      <c r="M56" s="134"/>
      <c r="N56" s="134">
        <f>N50</f>
        <v>1525</v>
      </c>
      <c r="O56" s="134">
        <f>O50</f>
        <v>231</v>
      </c>
      <c r="P56" s="134">
        <f>P50</f>
        <v>1425</v>
      </c>
      <c r="Q56" s="134">
        <f>Q50</f>
        <v>2229</v>
      </c>
      <c r="R56" s="134">
        <f>R50</f>
        <v>12768</v>
      </c>
      <c r="T56"/>
    </row>
    <row r="57" spans="1:21" s="133" customFormat="1" hidden="1">
      <c r="A57" t="s">
        <v>166</v>
      </c>
      <c r="B57"/>
      <c r="C57"/>
      <c r="D57" s="134">
        <f>0.95*D56</f>
        <v>264.09999999999997</v>
      </c>
      <c r="E57" s="134">
        <f t="shared" ref="E57:Q57" si="1">0.95*E56</f>
        <v>2002.6</v>
      </c>
      <c r="F57" s="134">
        <f t="shared" si="1"/>
        <v>737.19999999999993</v>
      </c>
      <c r="G57" s="134">
        <f t="shared" si="1"/>
        <v>192.85</v>
      </c>
      <c r="H57" s="134">
        <f t="shared" si="1"/>
        <v>416.09999999999997</v>
      </c>
      <c r="I57" s="134">
        <f t="shared" si="1"/>
        <v>502.54999999999995</v>
      </c>
      <c r="J57" s="134">
        <f t="shared" si="1"/>
        <v>980.4</v>
      </c>
      <c r="K57" s="134">
        <f t="shared" si="1"/>
        <v>160.54999999999998</v>
      </c>
      <c r="L57" s="134">
        <f t="shared" si="1"/>
        <v>1469.6499999999999</v>
      </c>
      <c r="M57" s="134"/>
      <c r="N57" s="134">
        <f t="shared" si="1"/>
        <v>1448.75</v>
      </c>
      <c r="O57" s="134">
        <f t="shared" si="1"/>
        <v>219.45</v>
      </c>
      <c r="P57" s="134">
        <f t="shared" si="1"/>
        <v>1353.75</v>
      </c>
      <c r="Q57" s="134">
        <f t="shared" si="1"/>
        <v>2117.5499999999997</v>
      </c>
      <c r="T57"/>
    </row>
    <row r="58" spans="1:21" s="133" customFormat="1" hidden="1">
      <c r="A58" t="s">
        <v>167</v>
      </c>
      <c r="B58"/>
      <c r="C58"/>
      <c r="D58" s="134">
        <f>0.05*D56</f>
        <v>13.9</v>
      </c>
      <c r="E58" s="134">
        <f t="shared" ref="E58:Q58" si="2">0.05*E56</f>
        <v>105.4</v>
      </c>
      <c r="F58" s="134">
        <f t="shared" si="2"/>
        <v>38.800000000000004</v>
      </c>
      <c r="G58" s="134">
        <f t="shared" si="2"/>
        <v>10.15</v>
      </c>
      <c r="H58" s="134">
        <f t="shared" si="2"/>
        <v>21.900000000000002</v>
      </c>
      <c r="I58" s="134">
        <f t="shared" si="2"/>
        <v>26.450000000000003</v>
      </c>
      <c r="J58" s="134">
        <f t="shared" si="2"/>
        <v>51.6</v>
      </c>
      <c r="K58" s="134">
        <f t="shared" si="2"/>
        <v>8.4500000000000011</v>
      </c>
      <c r="L58" s="134">
        <f t="shared" si="2"/>
        <v>77.350000000000009</v>
      </c>
      <c r="M58" s="134"/>
      <c r="N58" s="134">
        <f t="shared" si="2"/>
        <v>76.25</v>
      </c>
      <c r="O58" s="134">
        <f t="shared" si="2"/>
        <v>11.55</v>
      </c>
      <c r="P58" s="134">
        <f t="shared" si="2"/>
        <v>71.25</v>
      </c>
      <c r="Q58" s="134">
        <f t="shared" si="2"/>
        <v>111.45</v>
      </c>
      <c r="T58"/>
    </row>
    <row r="59" spans="1:21" s="133" customFormat="1" hidden="1">
      <c r="A59" t="s">
        <v>145</v>
      </c>
      <c r="B59"/>
      <c r="C59"/>
      <c r="D59" s="135" t="e">
        <f>-#REF!</f>
        <v>#REF!</v>
      </c>
      <c r="E59" s="135" t="e">
        <f>-#REF!</f>
        <v>#REF!</v>
      </c>
      <c r="F59" s="135" t="e">
        <f>-#REF!</f>
        <v>#REF!</v>
      </c>
      <c r="G59" s="135" t="e">
        <f>-#REF!</f>
        <v>#REF!</v>
      </c>
      <c r="H59" s="135" t="e">
        <f>-#REF!</f>
        <v>#REF!</v>
      </c>
      <c r="I59" s="135" t="e">
        <f>-#REF!</f>
        <v>#REF!</v>
      </c>
      <c r="J59" s="135" t="e">
        <f>-#REF!</f>
        <v>#REF!</v>
      </c>
      <c r="K59" s="135" t="e">
        <f>-#REF!</f>
        <v>#REF!</v>
      </c>
      <c r="L59" s="135" t="e">
        <f>-#REF!</f>
        <v>#REF!</v>
      </c>
      <c r="M59" s="135"/>
      <c r="N59" s="135" t="e">
        <f>-#REF!</f>
        <v>#REF!</v>
      </c>
      <c r="O59" s="135" t="e">
        <f>-#REF!</f>
        <v>#REF!</v>
      </c>
      <c r="P59" s="135" t="e">
        <f>-#REF!</f>
        <v>#REF!</v>
      </c>
      <c r="Q59" s="135" t="e">
        <f>-#REF!</f>
        <v>#REF!</v>
      </c>
      <c r="T59"/>
    </row>
    <row r="60" spans="1:21" s="133" customFormat="1" hidden="1">
      <c r="A60" t="s">
        <v>146</v>
      </c>
      <c r="B60"/>
      <c r="C60"/>
      <c r="D60" s="135" t="e">
        <f>D59*0.7</f>
        <v>#REF!</v>
      </c>
      <c r="E60" s="135" t="e">
        <f t="shared" ref="E60:Q60" si="3">E59*0.7</f>
        <v>#REF!</v>
      </c>
      <c r="F60" s="135" t="e">
        <f t="shared" si="3"/>
        <v>#REF!</v>
      </c>
      <c r="G60" s="135" t="e">
        <f t="shared" si="3"/>
        <v>#REF!</v>
      </c>
      <c r="H60" s="135" t="e">
        <f t="shared" si="3"/>
        <v>#REF!</v>
      </c>
      <c r="I60" s="135" t="e">
        <f t="shared" si="3"/>
        <v>#REF!</v>
      </c>
      <c r="J60" s="135" t="e">
        <f t="shared" si="3"/>
        <v>#REF!</v>
      </c>
      <c r="K60" s="135" t="e">
        <f t="shared" si="3"/>
        <v>#REF!</v>
      </c>
      <c r="L60" s="135" t="e">
        <f t="shared" si="3"/>
        <v>#REF!</v>
      </c>
      <c r="M60" s="135"/>
      <c r="N60" s="135" t="e">
        <f t="shared" si="3"/>
        <v>#REF!</v>
      </c>
      <c r="O60" s="135" t="e">
        <f t="shared" si="3"/>
        <v>#REF!</v>
      </c>
      <c r="P60" s="135" t="e">
        <f t="shared" si="3"/>
        <v>#REF!</v>
      </c>
      <c r="Q60" s="135" t="e">
        <f t="shared" si="3"/>
        <v>#REF!</v>
      </c>
      <c r="T60"/>
    </row>
    <row r="61" spans="1:21" s="133" customFormat="1" hidden="1">
      <c r="A61" t="s">
        <v>147</v>
      </c>
      <c r="B61"/>
      <c r="C61"/>
      <c r="D61" s="135" t="e">
        <f t="shared" ref="D61:Q61" si="4">D59*D57</f>
        <v>#REF!</v>
      </c>
      <c r="E61" s="135" t="e">
        <f t="shared" si="4"/>
        <v>#REF!</v>
      </c>
      <c r="F61" s="135" t="e">
        <f t="shared" si="4"/>
        <v>#REF!</v>
      </c>
      <c r="G61" s="135" t="e">
        <f t="shared" si="4"/>
        <v>#REF!</v>
      </c>
      <c r="H61" s="135" t="e">
        <f t="shared" si="4"/>
        <v>#REF!</v>
      </c>
      <c r="I61" s="135" t="e">
        <f t="shared" si="4"/>
        <v>#REF!</v>
      </c>
      <c r="J61" s="135" t="e">
        <f t="shared" si="4"/>
        <v>#REF!</v>
      </c>
      <c r="K61" s="135" t="e">
        <f t="shared" si="4"/>
        <v>#REF!</v>
      </c>
      <c r="L61" s="135" t="e">
        <f t="shared" si="4"/>
        <v>#REF!</v>
      </c>
      <c r="M61" s="135"/>
      <c r="N61" s="135" t="e">
        <f t="shared" si="4"/>
        <v>#REF!</v>
      </c>
      <c r="O61" s="135" t="e">
        <f t="shared" si="4"/>
        <v>#REF!</v>
      </c>
      <c r="P61" s="135" t="e">
        <f t="shared" si="4"/>
        <v>#REF!</v>
      </c>
      <c r="Q61" s="135" t="e">
        <f t="shared" si="4"/>
        <v>#REF!</v>
      </c>
      <c r="R61" s="135" t="e">
        <f>SUM(D61:Q61)</f>
        <v>#REF!</v>
      </c>
      <c r="T61"/>
    </row>
    <row r="62" spans="1:21" s="133" customFormat="1" hidden="1">
      <c r="A62" t="s">
        <v>148</v>
      </c>
      <c r="B62"/>
      <c r="C62"/>
      <c r="D62" s="135" t="e">
        <f t="shared" ref="D62:Q62" si="5">D58*D60</f>
        <v>#REF!</v>
      </c>
      <c r="E62" s="135" t="e">
        <f t="shared" si="5"/>
        <v>#REF!</v>
      </c>
      <c r="F62" s="135" t="e">
        <f t="shared" si="5"/>
        <v>#REF!</v>
      </c>
      <c r="G62" s="135" t="e">
        <f t="shared" si="5"/>
        <v>#REF!</v>
      </c>
      <c r="H62" s="135" t="e">
        <f t="shared" si="5"/>
        <v>#REF!</v>
      </c>
      <c r="I62" s="135" t="e">
        <f t="shared" si="5"/>
        <v>#REF!</v>
      </c>
      <c r="J62" s="135" t="e">
        <f t="shared" si="5"/>
        <v>#REF!</v>
      </c>
      <c r="K62" s="135" t="e">
        <f t="shared" si="5"/>
        <v>#REF!</v>
      </c>
      <c r="L62" s="135" t="e">
        <f t="shared" si="5"/>
        <v>#REF!</v>
      </c>
      <c r="M62" s="135"/>
      <c r="N62" s="135" t="e">
        <f t="shared" si="5"/>
        <v>#REF!</v>
      </c>
      <c r="O62" s="135" t="e">
        <f t="shared" si="5"/>
        <v>#REF!</v>
      </c>
      <c r="P62" s="135" t="e">
        <f t="shared" si="5"/>
        <v>#REF!</v>
      </c>
      <c r="Q62" s="135" t="e">
        <f t="shared" si="5"/>
        <v>#REF!</v>
      </c>
      <c r="R62" s="135" t="e">
        <f>SUM(D62:Q62)</f>
        <v>#REF!</v>
      </c>
      <c r="T62"/>
    </row>
    <row r="63" spans="1:21" s="133" customFormat="1" hidden="1">
      <c r="A63" t="s">
        <v>149</v>
      </c>
      <c r="B63"/>
      <c r="C63"/>
      <c r="D63" s="135" t="e">
        <f>D61+D62</f>
        <v>#REF!</v>
      </c>
      <c r="E63" s="135" t="e">
        <f t="shared" ref="E63:R63" si="6">E61+E62</f>
        <v>#REF!</v>
      </c>
      <c r="F63" s="135" t="e">
        <f t="shared" si="6"/>
        <v>#REF!</v>
      </c>
      <c r="G63" s="135" t="e">
        <f t="shared" si="6"/>
        <v>#REF!</v>
      </c>
      <c r="H63" s="135" t="e">
        <f t="shared" si="6"/>
        <v>#REF!</v>
      </c>
      <c r="I63" s="135" t="e">
        <f t="shared" si="6"/>
        <v>#REF!</v>
      </c>
      <c r="J63" s="135" t="e">
        <f t="shared" si="6"/>
        <v>#REF!</v>
      </c>
      <c r="K63" s="135" t="e">
        <f t="shared" si="6"/>
        <v>#REF!</v>
      </c>
      <c r="L63" s="135" t="e">
        <f t="shared" si="6"/>
        <v>#REF!</v>
      </c>
      <c r="M63" s="135"/>
      <c r="N63" s="135" t="e">
        <f t="shared" si="6"/>
        <v>#REF!</v>
      </c>
      <c r="O63" s="135" t="e">
        <f t="shared" si="6"/>
        <v>#REF!</v>
      </c>
      <c r="P63" s="135" t="e">
        <f t="shared" si="6"/>
        <v>#REF!</v>
      </c>
      <c r="Q63" s="135" t="e">
        <f t="shared" si="6"/>
        <v>#REF!</v>
      </c>
      <c r="R63" s="135" t="e">
        <f t="shared" si="6"/>
        <v>#REF!</v>
      </c>
      <c r="T63"/>
    </row>
    <row r="64" spans="1:21" s="133" customFormat="1" hidden="1">
      <c r="A64"/>
      <c r="B64"/>
      <c r="C64"/>
      <c r="U64"/>
    </row>
    <row r="65" spans="1:18" hidden="1">
      <c r="A65" t="s">
        <v>138</v>
      </c>
      <c r="D65" s="1"/>
      <c r="E65" s="1"/>
      <c r="F65" s="1"/>
      <c r="G65" s="1"/>
      <c r="I65" s="20"/>
      <c r="J65" s="46"/>
      <c r="K65" s="46"/>
      <c r="L65" s="46"/>
      <c r="M65" s="46"/>
      <c r="N65" s="46"/>
      <c r="O65" s="46"/>
      <c r="P65" s="46"/>
      <c r="Q65" s="46"/>
      <c r="R65" s="46"/>
    </row>
    <row r="66" spans="1:18" hidden="1">
      <c r="A66" t="s">
        <v>144</v>
      </c>
      <c r="D66" s="134">
        <f>R50</f>
        <v>12768</v>
      </c>
    </row>
    <row r="67" spans="1:18" hidden="1">
      <c r="A67" t="s">
        <v>166</v>
      </c>
      <c r="D67" s="126">
        <f>D66*0.95</f>
        <v>12129.599999999999</v>
      </c>
    </row>
    <row r="68" spans="1:18" hidden="1">
      <c r="A68" t="s">
        <v>167</v>
      </c>
      <c r="D68" s="126">
        <f>0.05*D66</f>
        <v>638.40000000000009</v>
      </c>
    </row>
    <row r="69" spans="1:18" hidden="1">
      <c r="A69" t="s">
        <v>158</v>
      </c>
      <c r="D69" s="27">
        <f>E78</f>
        <v>171330.59999999998</v>
      </c>
    </row>
    <row r="70" spans="1:18" hidden="1">
      <c r="A70" t="s">
        <v>157</v>
      </c>
      <c r="D70" s="27">
        <f>E104</f>
        <v>6312.18</v>
      </c>
    </row>
    <row r="71" spans="1:18" hidden="1">
      <c r="A71" t="s">
        <v>159</v>
      </c>
      <c r="D71" s="152">
        <f>D69+D70</f>
        <v>177642.77999999997</v>
      </c>
    </row>
    <row r="72" spans="1:18" hidden="1"/>
    <row r="73" spans="1:18" hidden="1">
      <c r="A73" t="s">
        <v>158</v>
      </c>
      <c r="D73" s="136"/>
      <c r="E73" s="137"/>
    </row>
    <row r="74" spans="1:18" hidden="1">
      <c r="A74" t="s">
        <v>139</v>
      </c>
      <c r="D74" s="138"/>
      <c r="E74" s="139">
        <f>E81+E82+E83+E84</f>
        <v>51550.799999999988</v>
      </c>
      <c r="I74" s="46"/>
      <c r="J74" s="46"/>
      <c r="K74" s="46"/>
      <c r="L74" s="46"/>
      <c r="M74" s="46"/>
      <c r="N74" s="46"/>
      <c r="O74" s="46"/>
      <c r="P74" s="46"/>
    </row>
    <row r="75" spans="1:18" ht="12.75" hidden="1" customHeight="1">
      <c r="A75" t="s">
        <v>140</v>
      </c>
      <c r="D75" s="140"/>
      <c r="E75" s="141">
        <f>E86+E87+E88+E89</f>
        <v>28807.799999999996</v>
      </c>
      <c r="F75" s="58"/>
      <c r="H75" s="47" t="s">
        <v>86</v>
      </c>
      <c r="I75" s="46"/>
      <c r="J75" s="498" t="s">
        <v>81</v>
      </c>
      <c r="K75" s="498" t="s">
        <v>82</v>
      </c>
      <c r="L75" s="498" t="s">
        <v>83</v>
      </c>
      <c r="M75" s="388"/>
      <c r="N75" s="498" t="s">
        <v>84</v>
      </c>
      <c r="O75" s="46"/>
      <c r="P75" s="46"/>
    </row>
    <row r="76" spans="1:18" ht="17.25" hidden="1" customHeight="1">
      <c r="A76" t="s">
        <v>141</v>
      </c>
      <c r="D76" s="142"/>
      <c r="E76" s="139">
        <f>E91+E92+E93</f>
        <v>66712.799999999988</v>
      </c>
      <c r="H76" s="47"/>
      <c r="I76" s="46"/>
      <c r="J76" s="498"/>
      <c r="K76" s="498"/>
      <c r="L76" s="498"/>
      <c r="M76" s="388"/>
      <c r="N76" s="498"/>
      <c r="O76" s="46"/>
      <c r="P76" s="46"/>
    </row>
    <row r="77" spans="1:18" ht="14.45" hidden="1" customHeight="1">
      <c r="A77" t="s">
        <v>49</v>
      </c>
      <c r="D77" s="140"/>
      <c r="E77" s="141">
        <f>E95+E96</f>
        <v>24259.199999999997</v>
      </c>
      <c r="I77" s="503" t="s">
        <v>75</v>
      </c>
      <c r="J77" s="503" t="s">
        <v>76</v>
      </c>
      <c r="K77" s="503" t="s">
        <v>77</v>
      </c>
      <c r="L77" s="503" t="s">
        <v>78</v>
      </c>
      <c r="M77" s="389"/>
      <c r="N77" s="503" t="s">
        <v>94</v>
      </c>
      <c r="O77" s="46"/>
      <c r="P77" s="46"/>
    </row>
    <row r="78" spans="1:18" ht="14.45" hidden="1" customHeight="1">
      <c r="A78" t="s">
        <v>150</v>
      </c>
      <c r="D78" s="131"/>
      <c r="E78" s="143">
        <f>SUM(E74:E77)</f>
        <v>171330.59999999998</v>
      </c>
      <c r="I78" s="503"/>
      <c r="J78" s="503"/>
      <c r="K78" s="503"/>
      <c r="L78" s="503"/>
      <c r="M78" s="389"/>
      <c r="N78" s="503"/>
      <c r="O78" s="46"/>
      <c r="P78" s="46"/>
    </row>
    <row r="79" spans="1:18" ht="14.45" hidden="1" customHeight="1">
      <c r="A79" t="s">
        <v>151</v>
      </c>
      <c r="D79" s="132"/>
      <c r="E79" s="144">
        <f>E78/D67</f>
        <v>14.125</v>
      </c>
      <c r="I79" s="503"/>
      <c r="J79" s="503"/>
      <c r="K79" s="503"/>
      <c r="L79" s="503"/>
      <c r="M79" s="389"/>
      <c r="N79" s="503"/>
      <c r="O79" s="46"/>
      <c r="P79" s="46"/>
    </row>
    <row r="80" spans="1:18" ht="26.25" hidden="1" customHeight="1">
      <c r="A80" t="s">
        <v>139</v>
      </c>
      <c r="B80" t="s">
        <v>90</v>
      </c>
      <c r="D80" s="125" t="s">
        <v>91</v>
      </c>
      <c r="E80" s="145" t="s">
        <v>92</v>
      </c>
      <c r="H80" s="48" t="s">
        <v>15</v>
      </c>
      <c r="I80" s="49">
        <f>3*52</f>
        <v>156</v>
      </c>
      <c r="J80" s="49" t="s">
        <v>95</v>
      </c>
      <c r="K80" s="50" t="s">
        <v>96</v>
      </c>
      <c r="L80" s="50" t="s">
        <v>97</v>
      </c>
      <c r="M80" s="50"/>
      <c r="N80" s="49" t="s">
        <v>85</v>
      </c>
      <c r="O80" s="46"/>
      <c r="P80" s="46"/>
    </row>
    <row r="81" spans="1:16" hidden="1">
      <c r="A81" t="s">
        <v>76</v>
      </c>
      <c r="B81">
        <v>2.5000000000000001E-2</v>
      </c>
      <c r="C81">
        <f>$D$67*B81</f>
        <v>303.23999999999995</v>
      </c>
      <c r="D81" s="146">
        <f>+J81</f>
        <v>35</v>
      </c>
      <c r="E81" s="147">
        <f>+D81*C81</f>
        <v>10613.399999999998</v>
      </c>
      <c r="F81" s="60"/>
      <c r="H81" s="46"/>
      <c r="I81" s="51"/>
      <c r="J81" s="53">
        <v>35</v>
      </c>
      <c r="K81" s="53">
        <v>25</v>
      </c>
      <c r="L81" s="53">
        <v>10</v>
      </c>
      <c r="M81" s="53"/>
      <c r="N81" s="52">
        <v>0</v>
      </c>
      <c r="O81" s="46"/>
      <c r="P81" s="46"/>
    </row>
    <row r="82" spans="1:16" ht="32.25" hidden="1" customHeight="1">
      <c r="A82" t="s">
        <v>77</v>
      </c>
      <c r="B82">
        <v>7.4999999999999997E-2</v>
      </c>
      <c r="C82">
        <f>$D$67*B82</f>
        <v>909.71999999999991</v>
      </c>
      <c r="D82" s="146">
        <f>+K81</f>
        <v>25</v>
      </c>
      <c r="E82" s="147">
        <f>+D82*C82</f>
        <v>22742.999999999996</v>
      </c>
      <c r="F82" s="20"/>
      <c r="H82" s="48" t="s">
        <v>16</v>
      </c>
      <c r="I82" s="49">
        <f>2*52</f>
        <v>104</v>
      </c>
      <c r="J82" s="49" t="s">
        <v>88</v>
      </c>
      <c r="K82" s="50" t="s">
        <v>98</v>
      </c>
      <c r="L82" s="49" t="s">
        <v>87</v>
      </c>
      <c r="M82" s="49"/>
      <c r="N82" s="50" t="s">
        <v>99</v>
      </c>
      <c r="P82" s="46"/>
    </row>
    <row r="83" spans="1:16" hidden="1">
      <c r="A83" t="s">
        <v>78</v>
      </c>
      <c r="B83">
        <v>0.15</v>
      </c>
      <c r="C83">
        <f>$D$67*B83</f>
        <v>1819.4399999999998</v>
      </c>
      <c r="D83" s="146">
        <f>L81</f>
        <v>10</v>
      </c>
      <c r="E83" s="147">
        <f>+D83*C83</f>
        <v>18194.399999999998</v>
      </c>
      <c r="F83" s="20"/>
      <c r="H83" s="46"/>
      <c r="I83" s="51"/>
      <c r="J83" s="53">
        <v>20</v>
      </c>
      <c r="K83" s="53">
        <v>15</v>
      </c>
      <c r="L83" s="53">
        <v>5</v>
      </c>
      <c r="M83" s="53"/>
      <c r="N83" s="52">
        <v>0</v>
      </c>
      <c r="O83" s="46"/>
      <c r="P83" s="46"/>
    </row>
    <row r="84" spans="1:16" ht="19.5" hidden="1" customHeight="1">
      <c r="A84" t="s">
        <v>94</v>
      </c>
      <c r="B84">
        <v>0.75</v>
      </c>
      <c r="C84">
        <f>$D$67*B84</f>
        <v>9097.1999999999989</v>
      </c>
      <c r="D84" s="127">
        <f>N81</f>
        <v>0</v>
      </c>
      <c r="E84" s="147">
        <f>+D84*C84</f>
        <v>0</v>
      </c>
      <c r="F84" s="44"/>
      <c r="H84" s="48" t="s">
        <v>24</v>
      </c>
      <c r="I84" s="49">
        <v>26</v>
      </c>
      <c r="J84" s="49" t="s">
        <v>88</v>
      </c>
      <c r="K84" s="504" t="s">
        <v>89</v>
      </c>
      <c r="L84" s="504"/>
      <c r="M84" s="392"/>
      <c r="N84" s="50" t="s">
        <v>79</v>
      </c>
      <c r="O84" t="s">
        <v>74</v>
      </c>
      <c r="P84" s="46"/>
    </row>
    <row r="85" spans="1:16" hidden="1">
      <c r="A85" t="s">
        <v>140</v>
      </c>
      <c r="B85" t="s">
        <v>90</v>
      </c>
      <c r="D85" s="125" t="s">
        <v>91</v>
      </c>
      <c r="E85" s="145" t="s">
        <v>92</v>
      </c>
      <c r="H85" s="46"/>
      <c r="I85" s="51"/>
      <c r="J85" s="53">
        <v>50</v>
      </c>
      <c r="K85" s="505">
        <v>20</v>
      </c>
      <c r="L85" s="505"/>
      <c r="M85" s="391"/>
      <c r="N85" s="52">
        <v>0</v>
      </c>
      <c r="O85" s="46"/>
      <c r="P85" s="46"/>
    </row>
    <row r="86" spans="1:16" hidden="1">
      <c r="A86" t="s">
        <v>76</v>
      </c>
      <c r="B86">
        <v>2.5000000000000001E-2</v>
      </c>
      <c r="C86">
        <f>$D$67*B86</f>
        <v>303.23999999999995</v>
      </c>
      <c r="D86" s="148">
        <f>J83</f>
        <v>20</v>
      </c>
      <c r="E86" s="147">
        <f>+D86*C86</f>
        <v>6064.7999999999993</v>
      </c>
      <c r="H86" s="48" t="s">
        <v>49</v>
      </c>
      <c r="I86" s="49"/>
      <c r="J86" s="506">
        <v>0</v>
      </c>
      <c r="K86" s="506"/>
      <c r="L86" s="506"/>
      <c r="M86" s="390"/>
      <c r="N86" s="50" t="s">
        <v>101</v>
      </c>
      <c r="O86" s="46"/>
      <c r="P86" s="46"/>
    </row>
    <row r="87" spans="1:16" hidden="1">
      <c r="A87" t="s">
        <v>77</v>
      </c>
      <c r="B87">
        <v>7.4999999999999997E-2</v>
      </c>
      <c r="C87">
        <f>$D$67*B87</f>
        <v>909.71999999999991</v>
      </c>
      <c r="D87" s="148">
        <f>K83</f>
        <v>15</v>
      </c>
      <c r="E87" s="147">
        <f>+D87*C87</f>
        <v>13645.8</v>
      </c>
      <c r="H87" s="46"/>
      <c r="I87" s="51"/>
      <c r="J87" s="505">
        <v>10</v>
      </c>
      <c r="K87" s="505"/>
      <c r="L87" s="505"/>
      <c r="M87" s="391"/>
      <c r="N87" s="52">
        <v>0</v>
      </c>
      <c r="O87" s="46"/>
      <c r="P87" s="46"/>
    </row>
    <row r="88" spans="1:16" hidden="1">
      <c r="A88" t="s">
        <v>78</v>
      </c>
      <c r="B88">
        <v>0.15</v>
      </c>
      <c r="C88">
        <f>$D$67*B88</f>
        <v>1819.4399999999998</v>
      </c>
      <c r="D88" s="148">
        <f>L83</f>
        <v>5</v>
      </c>
      <c r="E88" s="147">
        <f>+D88*C88</f>
        <v>9097.1999999999989</v>
      </c>
      <c r="H88" s="48" t="s">
        <v>28</v>
      </c>
      <c r="I88" s="48"/>
      <c r="J88" s="54">
        <f>+J81+J83+J85+J87</f>
        <v>115</v>
      </c>
      <c r="K88" s="54">
        <f>+K81+K83+K85+J87</f>
        <v>70</v>
      </c>
      <c r="L88" s="54">
        <f>+L81+L83+K85+J87</f>
        <v>45</v>
      </c>
      <c r="M88" s="54"/>
      <c r="N88" s="54">
        <f>+N81+N83+N85+N87</f>
        <v>0</v>
      </c>
      <c r="O88" s="46"/>
      <c r="P88" s="46"/>
    </row>
    <row r="89" spans="1:16" ht="26.25" hidden="1" customHeight="1">
      <c r="A89" t="s">
        <v>94</v>
      </c>
      <c r="B89">
        <v>0.75</v>
      </c>
      <c r="C89">
        <f>$D$67*B89</f>
        <v>9097.1999999999989</v>
      </c>
      <c r="D89" s="55">
        <f>N83</f>
        <v>0</v>
      </c>
      <c r="E89" s="147">
        <f>+D89*C89</f>
        <v>0</v>
      </c>
      <c r="O89" s="46"/>
      <c r="P89" s="46"/>
    </row>
    <row r="90" spans="1:16" hidden="1">
      <c r="A90" t="s">
        <v>141</v>
      </c>
      <c r="B90" t="s">
        <v>90</v>
      </c>
      <c r="D90" s="125" t="s">
        <v>91</v>
      </c>
      <c r="E90" s="145" t="s">
        <v>92</v>
      </c>
      <c r="P90" s="46"/>
    </row>
    <row r="91" spans="1:16" hidden="1">
      <c r="A91" t="s">
        <v>77</v>
      </c>
      <c r="B91">
        <v>0.05</v>
      </c>
      <c r="C91">
        <f>$D$67*B91</f>
        <v>606.4799999999999</v>
      </c>
      <c r="D91" s="148">
        <f>J85</f>
        <v>50</v>
      </c>
      <c r="E91" s="147">
        <f>+D91*C91</f>
        <v>30323.999999999996</v>
      </c>
      <c r="P91" s="46"/>
    </row>
    <row r="92" spans="1:16" hidden="1">
      <c r="A92" t="s">
        <v>78</v>
      </c>
      <c r="B92">
        <v>0.15</v>
      </c>
      <c r="C92">
        <f>$D$67*B92</f>
        <v>1819.4399999999998</v>
      </c>
      <c r="D92" s="148">
        <f>+K85</f>
        <v>20</v>
      </c>
      <c r="E92" s="147">
        <f>+D92*C92</f>
        <v>36388.799999999996</v>
      </c>
      <c r="P92" s="46"/>
    </row>
    <row r="93" spans="1:16" hidden="1">
      <c r="A93" t="s">
        <v>94</v>
      </c>
      <c r="B93">
        <v>0.8</v>
      </c>
      <c r="C93">
        <f>$D$67*B93</f>
        <v>9703.6799999999985</v>
      </c>
      <c r="D93" s="55">
        <f>N85</f>
        <v>0</v>
      </c>
      <c r="E93" s="147">
        <f>+D93*C93</f>
        <v>0</v>
      </c>
      <c r="P93" s="46"/>
    </row>
    <row r="94" spans="1:16" ht="27.75" hidden="1" customHeight="1">
      <c r="A94" t="s">
        <v>142</v>
      </c>
      <c r="B94" t="s">
        <v>90</v>
      </c>
      <c r="D94" s="125" t="s">
        <v>91</v>
      </c>
      <c r="E94" s="145" t="s">
        <v>92</v>
      </c>
    </row>
    <row r="95" spans="1:16" hidden="1">
      <c r="A95" t="s">
        <v>77</v>
      </c>
      <c r="B95">
        <v>0.2</v>
      </c>
      <c r="C95">
        <f>$D$67*B95</f>
        <v>2425.9199999999996</v>
      </c>
      <c r="D95" s="148">
        <f>J87</f>
        <v>10</v>
      </c>
      <c r="E95" s="147">
        <f>+D95*C95</f>
        <v>24259.199999999997</v>
      </c>
    </row>
    <row r="96" spans="1:16" hidden="1">
      <c r="A96" t="s">
        <v>94</v>
      </c>
      <c r="B96">
        <v>0.8</v>
      </c>
      <c r="C96">
        <f>$D$67*B96</f>
        <v>9703.6799999999985</v>
      </c>
      <c r="D96" s="148">
        <f>N87</f>
        <v>0</v>
      </c>
      <c r="E96" s="147">
        <f>+D96*C96</f>
        <v>0</v>
      </c>
    </row>
    <row r="97" spans="1:16" ht="13.5" hidden="1" thickBot="1">
      <c r="B97" t="s">
        <v>93</v>
      </c>
      <c r="D97" s="149"/>
      <c r="E97" s="150">
        <f>E74+E75+E76+E77</f>
        <v>171330.59999999998</v>
      </c>
    </row>
    <row r="98" spans="1:16" ht="39" hidden="1" customHeight="1" thickBot="1">
      <c r="D98" s="128"/>
      <c r="E98" s="129"/>
    </row>
    <row r="99" spans="1:16" hidden="1">
      <c r="A99" t="s">
        <v>157</v>
      </c>
      <c r="D99" s="136"/>
      <c r="E99" s="137"/>
      <c r="F99" s="59"/>
    </row>
    <row r="100" spans="1:16" hidden="1">
      <c r="A100" t="s">
        <v>152</v>
      </c>
      <c r="D100" s="138"/>
      <c r="E100" s="139">
        <f>(E107+E108+E109+E110)*0.7</f>
        <v>1899.24</v>
      </c>
      <c r="F100" s="59"/>
    </row>
    <row r="101" spans="1:16" hidden="1">
      <c r="A101" t="s">
        <v>153</v>
      </c>
      <c r="D101" s="140"/>
      <c r="E101" s="141">
        <f>(E112+E113+E114+E115)*0.7</f>
        <v>1061.3399999999999</v>
      </c>
      <c r="F101" s="59"/>
    </row>
    <row r="102" spans="1:16" hidden="1">
      <c r="A102" t="s">
        <v>154</v>
      </c>
      <c r="D102" s="142"/>
      <c r="E102" s="139">
        <f>(E117+E118+E119)*0.7</f>
        <v>2457.84</v>
      </c>
      <c r="F102" s="59"/>
    </row>
    <row r="103" spans="1:16" hidden="1">
      <c r="A103" t="s">
        <v>155</v>
      </c>
      <c r="D103" s="140"/>
      <c r="E103" s="141">
        <f>(E121+E122)*0.7</f>
        <v>893.7600000000001</v>
      </c>
      <c r="F103" s="59"/>
    </row>
    <row r="104" spans="1:16" hidden="1">
      <c r="A104" t="s">
        <v>156</v>
      </c>
      <c r="D104" s="131"/>
      <c r="E104" s="143">
        <f>SUM(E100:E103)</f>
        <v>6312.18</v>
      </c>
      <c r="F104" s="59"/>
    </row>
    <row r="105" spans="1:16" hidden="1">
      <c r="A105" t="s">
        <v>151</v>
      </c>
      <c r="D105" s="132"/>
      <c r="E105" s="144">
        <f>E104/D68</f>
        <v>9.8874999999999993</v>
      </c>
      <c r="F105" s="59"/>
    </row>
    <row r="106" spans="1:16" ht="26.25" hidden="1" customHeight="1">
      <c r="A106" t="s">
        <v>139</v>
      </c>
      <c r="B106" t="s">
        <v>90</v>
      </c>
      <c r="D106" s="125" t="s">
        <v>91</v>
      </c>
      <c r="E106" s="145" t="s">
        <v>92</v>
      </c>
    </row>
    <row r="107" spans="1:16" hidden="1">
      <c r="A107" t="s">
        <v>76</v>
      </c>
      <c r="B107">
        <v>2.5000000000000001E-2</v>
      </c>
      <c r="C107">
        <f>$D$68*B107</f>
        <v>15.960000000000003</v>
      </c>
      <c r="D107" s="146">
        <f>D81</f>
        <v>35</v>
      </c>
      <c r="E107" s="147">
        <f>+D107*C107</f>
        <v>558.60000000000014</v>
      </c>
      <c r="F107" s="20"/>
      <c r="G107" s="58"/>
    </row>
    <row r="108" spans="1:16" hidden="1">
      <c r="A108" t="s">
        <v>77</v>
      </c>
      <c r="B108">
        <v>7.4999999999999997E-2</v>
      </c>
      <c r="C108">
        <f>$D$68*B108</f>
        <v>47.88</v>
      </c>
      <c r="D108" s="146">
        <f>D82</f>
        <v>25</v>
      </c>
      <c r="E108" s="147">
        <f>+D108*C108</f>
        <v>1197</v>
      </c>
    </row>
    <row r="109" spans="1:16" hidden="1">
      <c r="A109" t="s">
        <v>78</v>
      </c>
      <c r="B109">
        <v>0.15</v>
      </c>
      <c r="C109">
        <f>$D$68*B109</f>
        <v>95.76</v>
      </c>
      <c r="D109" s="146">
        <f>D83</f>
        <v>10</v>
      </c>
      <c r="E109" s="147">
        <f>+D109*C109</f>
        <v>957.6</v>
      </c>
      <c r="I109" s="46"/>
      <c r="J109" s="46"/>
      <c r="K109" s="46"/>
      <c r="L109" s="46"/>
      <c r="M109" s="46"/>
      <c r="N109" s="46"/>
    </row>
    <row r="110" spans="1:16" ht="24" hidden="1">
      <c r="A110" t="s">
        <v>94</v>
      </c>
      <c r="B110">
        <v>0.75</v>
      </c>
      <c r="C110">
        <f>$D$68*B110</f>
        <v>478.80000000000007</v>
      </c>
      <c r="D110" s="146">
        <f>D84</f>
        <v>0</v>
      </c>
      <c r="E110" s="147">
        <f>+D110*C110</f>
        <v>0</v>
      </c>
      <c r="H110" s="47" t="s">
        <v>86</v>
      </c>
      <c r="I110" s="46"/>
      <c r="J110" s="388" t="s">
        <v>81</v>
      </c>
      <c r="K110" s="388" t="s">
        <v>82</v>
      </c>
      <c r="L110" s="388" t="s">
        <v>83</v>
      </c>
      <c r="M110" s="388"/>
      <c r="N110" s="388" t="s">
        <v>84</v>
      </c>
    </row>
    <row r="111" spans="1:16" ht="15" hidden="1">
      <c r="A111" t="s">
        <v>140</v>
      </c>
      <c r="B111" t="s">
        <v>90</v>
      </c>
      <c r="D111" s="125" t="s">
        <v>91</v>
      </c>
      <c r="E111" s="145" t="s">
        <v>92</v>
      </c>
      <c r="H111" s="47"/>
      <c r="I111" s="46"/>
      <c r="J111" s="388"/>
      <c r="K111" s="388"/>
      <c r="L111" s="388"/>
      <c r="M111" s="388"/>
      <c r="N111" s="388"/>
      <c r="O111" s="46"/>
      <c r="P111" s="46"/>
    </row>
    <row r="112" spans="1:16" ht="26.25" hidden="1" customHeight="1">
      <c r="A112" t="s">
        <v>76</v>
      </c>
      <c r="B112">
        <v>2.5000000000000001E-2</v>
      </c>
      <c r="C112">
        <f>$D$68*B112</f>
        <v>15.960000000000003</v>
      </c>
      <c r="D112" s="148">
        <f>D86</f>
        <v>20</v>
      </c>
      <c r="E112" s="147">
        <f>+D112*C112</f>
        <v>319.20000000000005</v>
      </c>
      <c r="F112" s="58"/>
      <c r="I112" s="389" t="s">
        <v>75</v>
      </c>
      <c r="J112" s="389" t="s">
        <v>76</v>
      </c>
      <c r="K112" s="389" t="s">
        <v>77</v>
      </c>
      <c r="L112" s="389" t="s">
        <v>78</v>
      </c>
      <c r="M112" s="389"/>
      <c r="N112" s="389" t="s">
        <v>94</v>
      </c>
      <c r="O112" s="46"/>
      <c r="P112" s="46"/>
    </row>
    <row r="113" spans="1:16" ht="24" hidden="1" customHeight="1">
      <c r="A113" t="s">
        <v>77</v>
      </c>
      <c r="B113">
        <v>7.4999999999999997E-2</v>
      </c>
      <c r="C113">
        <f>$D$68*B113</f>
        <v>47.88</v>
      </c>
      <c r="D113" s="148">
        <f>D87</f>
        <v>15</v>
      </c>
      <c r="E113" s="147">
        <f>+D113*C113</f>
        <v>718.2</v>
      </c>
      <c r="I113" s="389"/>
      <c r="J113" s="389"/>
      <c r="K113" s="389"/>
      <c r="L113" s="389"/>
      <c r="M113" s="389"/>
      <c r="N113" s="389"/>
      <c r="O113" s="46"/>
      <c r="P113" s="46"/>
    </row>
    <row r="114" spans="1:16" ht="23.25" hidden="1" customHeight="1">
      <c r="A114" t="s">
        <v>78</v>
      </c>
      <c r="B114">
        <v>0.15</v>
      </c>
      <c r="C114">
        <f>$D$68*B114</f>
        <v>95.76</v>
      </c>
      <c r="D114" s="148">
        <f>D88</f>
        <v>5</v>
      </c>
      <c r="E114" s="147">
        <f>+D114*C114</f>
        <v>478.8</v>
      </c>
      <c r="H114" s="48" t="s">
        <v>15</v>
      </c>
      <c r="I114" s="49">
        <f>3*52</f>
        <v>156</v>
      </c>
      <c r="J114" s="49" t="s">
        <v>95</v>
      </c>
      <c r="K114" s="50" t="s">
        <v>96</v>
      </c>
      <c r="L114" s="50" t="s">
        <v>97</v>
      </c>
      <c r="M114" s="50"/>
      <c r="N114" s="49" t="s">
        <v>85</v>
      </c>
      <c r="O114" s="46"/>
      <c r="P114" s="46"/>
    </row>
    <row r="115" spans="1:16" ht="22.5" hidden="1" customHeight="1">
      <c r="A115" t="s">
        <v>94</v>
      </c>
      <c r="B115">
        <v>0.75</v>
      </c>
      <c r="C115">
        <f>$D$68*B115</f>
        <v>478.80000000000007</v>
      </c>
      <c r="D115" s="148">
        <f>D89</f>
        <v>0</v>
      </c>
      <c r="E115" s="147">
        <f>+D115*C115</f>
        <v>0</v>
      </c>
      <c r="H115" s="46"/>
      <c r="I115" s="51"/>
      <c r="J115" s="53">
        <v>35</v>
      </c>
      <c r="K115" s="53">
        <v>25</v>
      </c>
      <c r="L115" s="53">
        <v>10</v>
      </c>
      <c r="M115" s="53"/>
      <c r="N115" s="52">
        <v>0</v>
      </c>
      <c r="O115" s="46"/>
      <c r="P115" s="46"/>
    </row>
    <row r="116" spans="1:16" hidden="1">
      <c r="A116" t="s">
        <v>141</v>
      </c>
      <c r="B116" t="s">
        <v>90</v>
      </c>
      <c r="D116" s="125" t="s">
        <v>91</v>
      </c>
      <c r="E116" s="145" t="s">
        <v>92</v>
      </c>
      <c r="H116" s="48" t="s">
        <v>16</v>
      </c>
      <c r="I116" s="49">
        <f>2*52</f>
        <v>104</v>
      </c>
      <c r="J116" s="49" t="s">
        <v>88</v>
      </c>
      <c r="K116" s="50" t="s">
        <v>98</v>
      </c>
      <c r="L116" s="49" t="s">
        <v>87</v>
      </c>
      <c r="M116" s="49"/>
      <c r="N116" s="50" t="s">
        <v>99</v>
      </c>
      <c r="O116" s="46"/>
      <c r="P116" s="46"/>
    </row>
    <row r="117" spans="1:16" hidden="1">
      <c r="A117" t="s">
        <v>77</v>
      </c>
      <c r="B117">
        <v>0.05</v>
      </c>
      <c r="C117">
        <f>$D$68*B117</f>
        <v>31.920000000000005</v>
      </c>
      <c r="D117" s="148">
        <f>D91</f>
        <v>50</v>
      </c>
      <c r="E117" s="147">
        <f>+D117*C117</f>
        <v>1596.0000000000002</v>
      </c>
      <c r="F117" s="60"/>
      <c r="H117" s="46"/>
      <c r="I117" s="51"/>
      <c r="J117" s="53">
        <v>20</v>
      </c>
      <c r="K117" s="53">
        <v>15</v>
      </c>
      <c r="L117" s="53">
        <v>5</v>
      </c>
      <c r="M117" s="53"/>
      <c r="N117" s="52">
        <v>0</v>
      </c>
      <c r="O117" s="46"/>
      <c r="P117" s="46"/>
    </row>
    <row r="118" spans="1:16" hidden="1">
      <c r="A118" t="s">
        <v>78</v>
      </c>
      <c r="B118">
        <v>0.15</v>
      </c>
      <c r="C118">
        <f>$D$68*B118</f>
        <v>95.76</v>
      </c>
      <c r="D118" s="148">
        <f>D92</f>
        <v>20</v>
      </c>
      <c r="E118" s="147">
        <f>+D118*C118</f>
        <v>1915.2</v>
      </c>
      <c r="F118" s="20"/>
      <c r="H118" s="48" t="s">
        <v>24</v>
      </c>
      <c r="I118" s="49">
        <v>26</v>
      </c>
      <c r="J118" s="49" t="s">
        <v>88</v>
      </c>
      <c r="K118" s="504" t="s">
        <v>89</v>
      </c>
      <c r="L118" s="504"/>
      <c r="M118" s="392"/>
      <c r="N118" s="50" t="s">
        <v>79</v>
      </c>
      <c r="P118" s="46"/>
    </row>
    <row r="119" spans="1:16" hidden="1">
      <c r="A119" t="s">
        <v>94</v>
      </c>
      <c r="B119">
        <v>0.8</v>
      </c>
      <c r="C119">
        <f>$D$68*B119</f>
        <v>510.72000000000008</v>
      </c>
      <c r="D119" s="148">
        <f>D93</f>
        <v>0</v>
      </c>
      <c r="E119" s="147">
        <f>+D119*C119</f>
        <v>0</v>
      </c>
      <c r="F119" s="20"/>
      <c r="H119" s="46"/>
      <c r="I119" s="51"/>
      <c r="J119" s="53">
        <v>50</v>
      </c>
      <c r="K119" s="505">
        <v>20</v>
      </c>
      <c r="L119" s="505"/>
      <c r="M119" s="391"/>
      <c r="N119" s="52">
        <v>0</v>
      </c>
      <c r="O119" s="46"/>
      <c r="P119" s="46"/>
    </row>
    <row r="120" spans="1:16" hidden="1">
      <c r="A120" t="s">
        <v>142</v>
      </c>
      <c r="B120" t="s">
        <v>90</v>
      </c>
      <c r="D120" s="125" t="s">
        <v>91</v>
      </c>
      <c r="E120" s="145" t="s">
        <v>92</v>
      </c>
      <c r="F120" s="44"/>
      <c r="H120" s="48" t="s">
        <v>49</v>
      </c>
      <c r="I120" s="49"/>
      <c r="J120" s="506">
        <v>0</v>
      </c>
      <c r="K120" s="506"/>
      <c r="L120" s="506"/>
      <c r="M120" s="390"/>
      <c r="N120" s="50" t="s">
        <v>101</v>
      </c>
      <c r="O120" t="s">
        <v>74</v>
      </c>
      <c r="P120" s="46"/>
    </row>
    <row r="121" spans="1:16" hidden="1">
      <c r="A121" t="s">
        <v>77</v>
      </c>
      <c r="B121">
        <v>0.2</v>
      </c>
      <c r="C121">
        <f>$D$68*B121</f>
        <v>127.68000000000002</v>
      </c>
      <c r="D121" s="148">
        <f>D95</f>
        <v>10</v>
      </c>
      <c r="E121" s="147">
        <f>+D121*C121</f>
        <v>1276.8000000000002</v>
      </c>
      <c r="H121" s="46"/>
      <c r="I121" s="51"/>
      <c r="J121" s="505">
        <v>10</v>
      </c>
      <c r="K121" s="505"/>
      <c r="L121" s="505"/>
      <c r="M121" s="391"/>
      <c r="N121" s="52">
        <v>0</v>
      </c>
      <c r="O121" s="46"/>
      <c r="P121" s="46"/>
    </row>
    <row r="122" spans="1:16" hidden="1">
      <c r="A122" t="s">
        <v>94</v>
      </c>
      <c r="B122">
        <v>0.8</v>
      </c>
      <c r="C122">
        <f>$D$68*B122</f>
        <v>510.72000000000008</v>
      </c>
      <c r="D122" s="148">
        <f>D96</f>
        <v>0</v>
      </c>
      <c r="E122" s="147">
        <f>+D122*C122</f>
        <v>0</v>
      </c>
      <c r="H122" s="48" t="s">
        <v>28</v>
      </c>
      <c r="I122" s="48"/>
      <c r="J122" s="54">
        <f>+J115+J117+J119+J121</f>
        <v>115</v>
      </c>
      <c r="K122" s="54">
        <f>+K115+K117+K119+J121</f>
        <v>70</v>
      </c>
      <c r="L122" s="54">
        <f>+L115+L117+K119+J121</f>
        <v>45</v>
      </c>
      <c r="M122" s="54"/>
      <c r="N122" s="54">
        <f>+N115+N117+N119+N121</f>
        <v>0</v>
      </c>
      <c r="O122" s="46"/>
      <c r="P122" s="46"/>
    </row>
    <row r="123" spans="1:16" ht="13.5" hidden="1" thickBot="1">
      <c r="B123" t="s">
        <v>93</v>
      </c>
      <c r="D123" s="149"/>
      <c r="E123" s="150">
        <f>E100+E101+E102+E103</f>
        <v>6312.18</v>
      </c>
      <c r="H123" s="46" t="s">
        <v>80</v>
      </c>
      <c r="I123" s="46"/>
      <c r="J123" s="56">
        <f>D107</f>
        <v>35</v>
      </c>
      <c r="K123" s="56">
        <f>J123</f>
        <v>35</v>
      </c>
      <c r="L123" s="57">
        <f>K123</f>
        <v>35</v>
      </c>
      <c r="M123" s="57"/>
      <c r="N123" s="56">
        <f>L123</f>
        <v>35</v>
      </c>
      <c r="O123" s="46"/>
      <c r="P123" s="46"/>
    </row>
    <row r="124" spans="1:16" hidden="1"/>
    <row r="125" spans="1:16" hidden="1"/>
    <row r="126" spans="1:16" hidden="1"/>
  </sheetData>
  <sheetProtection sheet="1" objects="1" scenarios="1"/>
  <mergeCells count="23">
    <mergeCell ref="K84:L84"/>
    <mergeCell ref="J121:L121"/>
    <mergeCell ref="K85:L85"/>
    <mergeCell ref="J86:L86"/>
    <mergeCell ref="J87:L87"/>
    <mergeCell ref="K118:L118"/>
    <mergeCell ref="K119:L119"/>
    <mergeCell ref="J120:L120"/>
    <mergeCell ref="I77:I79"/>
    <mergeCell ref="J77:J79"/>
    <mergeCell ref="K77:K79"/>
    <mergeCell ref="L77:L79"/>
    <mergeCell ref="N77:N79"/>
    <mergeCell ref="C7:E7"/>
    <mergeCell ref="A9:A35"/>
    <mergeCell ref="B9:B24"/>
    <mergeCell ref="B25:B34"/>
    <mergeCell ref="N75:N76"/>
    <mergeCell ref="A37:A44"/>
    <mergeCell ref="B37:B44"/>
    <mergeCell ref="J75:J76"/>
    <mergeCell ref="K75:K76"/>
    <mergeCell ref="L75:L76"/>
  </mergeCells>
  <pageMargins left="0.7" right="0.7" top="0.75" bottom="0.75" header="0.3" footer="0.3"/>
  <pageSetup paperSize="9" scale="43" fitToHeight="0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-0.499984740745262"/>
    <pageSetUpPr fitToPage="1"/>
  </sheetPr>
  <dimension ref="A1:GM58"/>
  <sheetViews>
    <sheetView topLeftCell="A47" workbookViewId="0">
      <selection activeCell="I89" sqref="I89"/>
    </sheetView>
  </sheetViews>
  <sheetFormatPr defaultColWidth="11.42578125" defaultRowHeight="12.75"/>
  <cols>
    <col min="1" max="1" width="23.85546875" customWidth="1"/>
    <col min="2" max="2" width="36" bestFit="1" customWidth="1"/>
    <col min="3" max="3" width="14.42578125" bestFit="1" customWidth="1"/>
    <col min="4" max="4" width="15.140625" customWidth="1"/>
    <col min="5" max="5" width="21.5703125" customWidth="1"/>
    <col min="6" max="6" width="14.5703125" customWidth="1"/>
  </cols>
  <sheetData>
    <row r="1" spans="3:6" ht="15" hidden="1" customHeight="1"/>
    <row r="2" spans="3:6" ht="15" hidden="1" customHeight="1">
      <c r="E2" s="507" t="s">
        <v>64</v>
      </c>
      <c r="F2" s="507"/>
    </row>
    <row r="3" spans="3:6" ht="33.75" hidden="1" customHeight="1">
      <c r="C3" s="40" t="s">
        <v>125</v>
      </c>
      <c r="D3" s="40" t="s">
        <v>66</v>
      </c>
      <c r="E3" s="15" t="s">
        <v>60</v>
      </c>
      <c r="F3" s="15" t="s">
        <v>61</v>
      </c>
    </row>
    <row r="4" spans="3:6" ht="12.75" hidden="1" customHeight="1">
      <c r="C4" s="37" t="e">
        <f>#REF!*1000/#REF!/365</f>
        <v>#REF!</v>
      </c>
      <c r="D4" s="32" t="e">
        <f>(C4-#REF!)/#REF!</f>
        <v>#REF!</v>
      </c>
      <c r="E4" s="18" t="s">
        <v>62</v>
      </c>
      <c r="F4" s="38">
        <v>789</v>
      </c>
    </row>
    <row r="5" spans="3:6" ht="15" hidden="1" customHeight="1">
      <c r="C5" s="37" t="e">
        <f>#REF!*1000/#REF!/365</f>
        <v>#REF!</v>
      </c>
      <c r="D5" s="32" t="e">
        <f>(C5-#REF!)/#REF!</f>
        <v>#REF!</v>
      </c>
      <c r="E5" s="18">
        <v>2422.38</v>
      </c>
      <c r="F5" s="38">
        <v>5094</v>
      </c>
    </row>
    <row r="6" spans="3:6" ht="12.75" hidden="1" customHeight="1">
      <c r="C6" s="37" t="e">
        <f>#REF!*1000/#REF!/365</f>
        <v>#REF!</v>
      </c>
      <c r="D6" s="32" t="e">
        <f>(C6-#REF!)/#REF!</f>
        <v>#REF!</v>
      </c>
      <c r="E6" s="18">
        <v>727.7</v>
      </c>
      <c r="F6" s="38">
        <v>1796</v>
      </c>
    </row>
    <row r="7" spans="3:6" ht="12.75" hidden="1" customHeight="1">
      <c r="C7" s="37" t="e">
        <f>#REF!*1000/#REF!/365</f>
        <v>#REF!</v>
      </c>
      <c r="D7" s="32" t="e">
        <f>(C7-#REF!)/#REF!</f>
        <v>#REF!</v>
      </c>
      <c r="E7" s="18">
        <v>301.98</v>
      </c>
      <c r="F7" s="38">
        <v>533</v>
      </c>
    </row>
    <row r="8" spans="3:6" ht="12.75" hidden="1" customHeight="1">
      <c r="C8" s="37" t="e">
        <f>#REF!*1000/#REF!/365</f>
        <v>#REF!</v>
      </c>
      <c r="D8" s="32" t="e">
        <f>(C8-#REF!)/#REF!</f>
        <v>#REF!</v>
      </c>
      <c r="E8" s="18">
        <v>386.59</v>
      </c>
      <c r="F8" s="38">
        <v>973</v>
      </c>
    </row>
    <row r="9" spans="3:6" ht="12.75" hidden="1" customHeight="1">
      <c r="C9" s="37" t="e">
        <f>#REF!*1000/#REF!/365</f>
        <v>#REF!</v>
      </c>
      <c r="D9" s="32" t="e">
        <f>(C9-#REF!)/#REF!</f>
        <v>#REF!</v>
      </c>
      <c r="E9" s="18">
        <v>520.98</v>
      </c>
      <c r="F9" s="38">
        <v>1147</v>
      </c>
    </row>
    <row r="10" spans="3:6" ht="12.75" hidden="1" customHeight="1">
      <c r="C10" s="37" t="e">
        <f>#REF!*1000/#REF!/365</f>
        <v>#REF!</v>
      </c>
      <c r="D10" s="32" t="e">
        <f>(C10-#REF!)/#REF!</f>
        <v>#REF!</v>
      </c>
      <c r="E10" s="18">
        <v>1179.6099999999999</v>
      </c>
      <c r="F10" s="38">
        <v>2700</v>
      </c>
    </row>
    <row r="11" spans="3:6" ht="12.75" hidden="1" customHeight="1">
      <c r="C11" s="37" t="e">
        <f>#REF!*1000/#REF!/365</f>
        <v>#REF!</v>
      </c>
      <c r="D11" s="32" t="e">
        <f>(C11-#REF!)/#REF!</f>
        <v>#REF!</v>
      </c>
      <c r="E11" s="18">
        <v>148.97999999999999</v>
      </c>
      <c r="F11" s="38">
        <v>327</v>
      </c>
    </row>
    <row r="12" spans="3:6" ht="12.75" hidden="1" customHeight="1">
      <c r="C12" s="37" t="e">
        <f>#REF!*1000/#REF!/365</f>
        <v>#REF!</v>
      </c>
      <c r="D12" s="32" t="e">
        <f>(C12-#REF!)/#REF!</f>
        <v>#REF!</v>
      </c>
      <c r="E12" s="18">
        <v>296.18</v>
      </c>
      <c r="F12" s="38">
        <v>730</v>
      </c>
    </row>
    <row r="13" spans="3:6" ht="12.75" hidden="1" customHeight="1">
      <c r="C13" s="37" t="e">
        <f>#REF!*1000/#REF!/365</f>
        <v>#REF!</v>
      </c>
      <c r="D13" s="32" t="e">
        <f>(C13-#REF!)/#REF!</f>
        <v>#REF!</v>
      </c>
      <c r="E13" s="18">
        <v>1640.93</v>
      </c>
      <c r="F13" s="38">
        <v>3856</v>
      </c>
    </row>
    <row r="14" spans="3:6" ht="12.75" hidden="1" customHeight="1">
      <c r="C14" s="37" t="e">
        <f>#REF!*1000/#REF!/365</f>
        <v>#REF!</v>
      </c>
      <c r="D14" s="32" t="e">
        <f>(C14-#REF!)/#REF!</f>
        <v>#REF!</v>
      </c>
      <c r="E14" s="18">
        <v>1945.21</v>
      </c>
      <c r="F14" s="38">
        <v>4012</v>
      </c>
    </row>
    <row r="15" spans="3:6" ht="12.75" hidden="1" customHeight="1">
      <c r="C15" s="37" t="e">
        <f>#REF!*1000/#REF!/365</f>
        <v>#REF!</v>
      </c>
      <c r="D15" s="32" t="e">
        <f>(C15-#REF!)/#REF!</f>
        <v>#REF!</v>
      </c>
      <c r="E15" s="18">
        <v>114.58</v>
      </c>
      <c r="F15" s="38">
        <v>501</v>
      </c>
    </row>
    <row r="16" spans="3:6" ht="12.75" hidden="1" customHeight="1">
      <c r="C16" s="37" t="e">
        <f>#REF!*1000/#REF!/365</f>
        <v>#REF!</v>
      </c>
      <c r="D16" s="32" t="e">
        <f>(C16-#REF!)/#REF!</f>
        <v>#REF!</v>
      </c>
      <c r="E16" s="18">
        <v>1785.78</v>
      </c>
      <c r="F16" s="38">
        <v>3612</v>
      </c>
    </row>
    <row r="17" spans="3:6" ht="12.75" hidden="1" customHeight="1">
      <c r="C17" s="37" t="e">
        <f>#REF!*1000/#REF!/365</f>
        <v>#REF!</v>
      </c>
      <c r="D17" s="32" t="e">
        <f>(C17-#REF!)/#REF!</f>
        <v>#REF!</v>
      </c>
      <c r="E17" s="18">
        <v>2302.58</v>
      </c>
      <c r="F17" s="38">
        <v>5231</v>
      </c>
    </row>
    <row r="18" spans="3:6" ht="12.75" hidden="1" customHeight="1">
      <c r="C18" s="39" t="e">
        <f>#REF!*1000/#REF!/365</f>
        <v>#REF!</v>
      </c>
      <c r="D18" s="33" t="e">
        <f>(C18-#REF!)/#REF!</f>
        <v>#REF!</v>
      </c>
      <c r="E18" s="19">
        <f>SUM(E4:E17)</f>
        <v>13773.480000000001</v>
      </c>
      <c r="F18" s="19">
        <f>SUM(F4:F17)</f>
        <v>31301</v>
      </c>
    </row>
    <row r="19" spans="3:6" ht="15" hidden="1" customHeight="1">
      <c r="E19" s="14"/>
    </row>
    <row r="20" spans="3:6" ht="12.75" hidden="1" customHeight="1"/>
    <row r="21" spans="3:6" ht="12.75" hidden="1" customHeight="1"/>
    <row r="22" spans="3:6" ht="12.75" hidden="1" customHeight="1"/>
    <row r="23" spans="3:6" ht="12.75" hidden="1" customHeight="1"/>
    <row r="24" spans="3:6" ht="12.75" hidden="1" customHeight="1">
      <c r="C24" s="1"/>
      <c r="D24" s="1"/>
      <c r="E24" s="1"/>
      <c r="F24" s="1"/>
    </row>
    <row r="25" spans="3:6" ht="12.75" hidden="1" customHeight="1">
      <c r="C25" s="1"/>
      <c r="D25" s="1"/>
      <c r="E25" s="1"/>
      <c r="F25" s="1"/>
    </row>
    <row r="26" spans="3:6" ht="12.75" hidden="1" customHeight="1">
      <c r="C26" s="1"/>
      <c r="D26" s="1"/>
      <c r="E26" s="1"/>
      <c r="F26" s="1"/>
    </row>
    <row r="27" spans="3:6" ht="12.75" hidden="1" customHeight="1">
      <c r="C27" s="387"/>
      <c r="D27" s="387"/>
      <c r="E27" s="1"/>
      <c r="F27" s="1"/>
    </row>
    <row r="28" spans="3:6" ht="12.75" hidden="1" customHeight="1">
      <c r="C28" s="62"/>
      <c r="D28" s="62"/>
      <c r="E28" s="1"/>
      <c r="F28" s="65"/>
    </row>
    <row r="29" spans="3:6" ht="12.75" hidden="1" customHeight="1">
      <c r="C29" s="62"/>
      <c r="D29" s="62"/>
      <c r="E29" s="1"/>
      <c r="F29" s="65"/>
    </row>
    <row r="30" spans="3:6" ht="12.75" hidden="1" customHeight="1">
      <c r="C30" s="62"/>
      <c r="D30" s="62"/>
      <c r="E30" s="1"/>
      <c r="F30" s="65"/>
    </row>
    <row r="31" spans="3:6" ht="12.75" hidden="1" customHeight="1">
      <c r="C31" s="62"/>
      <c r="D31" s="62"/>
      <c r="E31" s="1"/>
      <c r="F31" s="65"/>
    </row>
    <row r="32" spans="3:6" ht="12.75" hidden="1" customHeight="1">
      <c r="C32" s="62"/>
      <c r="D32" s="62"/>
      <c r="E32" s="1"/>
      <c r="F32" s="65"/>
    </row>
    <row r="33" spans="1:195" ht="12.75" hidden="1" customHeight="1">
      <c r="C33" s="62"/>
      <c r="D33" s="62"/>
      <c r="E33" s="1"/>
      <c r="F33" s="65"/>
    </row>
    <row r="34" spans="1:195" ht="12.75" hidden="1" customHeight="1">
      <c r="C34" s="62"/>
      <c r="D34" s="62"/>
      <c r="E34" s="1"/>
      <c r="F34" s="65"/>
    </row>
    <row r="35" spans="1:195" ht="12.75" hidden="1" customHeight="1">
      <c r="C35" s="62"/>
      <c r="D35" s="62"/>
      <c r="E35" s="1"/>
      <c r="F35" s="65"/>
    </row>
    <row r="36" spans="1:195" ht="12.75" hidden="1" customHeight="1">
      <c r="C36" s="62"/>
      <c r="D36" s="62"/>
      <c r="E36" s="1"/>
      <c r="F36" s="65"/>
    </row>
    <row r="37" spans="1:195" ht="12.75" hidden="1" customHeight="1">
      <c r="C37" s="62"/>
      <c r="D37" s="62"/>
      <c r="E37" s="1"/>
      <c r="F37" s="65"/>
    </row>
    <row r="38" spans="1:195" ht="12.75" hidden="1" customHeight="1">
      <c r="C38" s="62"/>
      <c r="D38" s="62"/>
      <c r="E38" s="1"/>
      <c r="F38" s="65"/>
    </row>
    <row r="39" spans="1:195" ht="12.75" hidden="1" customHeight="1">
      <c r="C39" s="62"/>
      <c r="D39" s="62"/>
      <c r="E39" s="1"/>
      <c r="F39" s="65"/>
    </row>
    <row r="40" spans="1:195" ht="12.75" hidden="1" customHeight="1">
      <c r="C40" s="62"/>
      <c r="D40" s="62"/>
      <c r="E40" s="1"/>
      <c r="F40" s="65"/>
    </row>
    <row r="41" spans="1:195" ht="12.75" hidden="1" customHeight="1">
      <c r="C41" s="62"/>
      <c r="D41" s="62"/>
      <c r="E41" s="1"/>
      <c r="F41" s="65"/>
    </row>
    <row r="42" spans="1:195" ht="12.75" hidden="1" customHeight="1">
      <c r="C42" s="62"/>
      <c r="D42" s="62"/>
      <c r="E42" s="1"/>
      <c r="F42" s="42"/>
    </row>
    <row r="43" spans="1:195" ht="12.75" hidden="1" customHeight="1">
      <c r="F43" s="1"/>
    </row>
    <row r="44" spans="1:195" ht="12.75" hidden="1" customHeight="1"/>
    <row r="45" spans="1:195" ht="12.75" hidden="1" customHeight="1"/>
    <row r="46" spans="1:195" ht="23.25">
      <c r="A46" s="508" t="s">
        <v>370</v>
      </c>
      <c r="B46" s="509"/>
      <c r="C46" s="120" t="s">
        <v>14</v>
      </c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56"/>
      <c r="AR46" s="156"/>
      <c r="AS46" s="156"/>
      <c r="AT46" s="156"/>
      <c r="AU46" s="156"/>
      <c r="AV46" s="156"/>
      <c r="AW46" s="156"/>
      <c r="AX46" s="156"/>
      <c r="AY46" s="156"/>
      <c r="AZ46" s="156"/>
      <c r="BA46" s="156"/>
      <c r="BB46" s="156"/>
      <c r="BC46" s="156"/>
      <c r="BD46" s="156"/>
      <c r="BE46" s="156"/>
      <c r="BF46" s="156"/>
      <c r="BG46" s="156"/>
      <c r="BH46" s="156"/>
      <c r="BI46" s="156"/>
      <c r="BJ46" s="156"/>
      <c r="BK46" s="156"/>
      <c r="BL46" s="156"/>
      <c r="BM46" s="156"/>
      <c r="BN46" s="156"/>
      <c r="BO46" s="156"/>
      <c r="BP46" s="156"/>
      <c r="BQ46" s="156"/>
      <c r="BR46" s="156"/>
      <c r="BS46" s="156"/>
      <c r="BT46" s="156"/>
      <c r="BU46" s="156"/>
      <c r="BV46" s="156"/>
      <c r="BW46" s="156"/>
      <c r="BX46" s="156"/>
      <c r="BY46" s="156"/>
      <c r="BZ46" s="156"/>
      <c r="CA46" s="156"/>
      <c r="CB46" s="156"/>
      <c r="CC46" s="156"/>
      <c r="CD46" s="156"/>
      <c r="CE46" s="156"/>
      <c r="CF46" s="156"/>
      <c r="CG46" s="156"/>
      <c r="CH46" s="156"/>
      <c r="CI46" s="156"/>
      <c r="CJ46" s="156"/>
      <c r="CK46" s="156"/>
      <c r="CL46" s="156"/>
      <c r="CM46" s="156"/>
      <c r="CN46" s="156"/>
      <c r="CO46" s="156"/>
      <c r="CP46" s="156"/>
      <c r="CQ46" s="156"/>
      <c r="CR46" s="156"/>
      <c r="CS46" s="156"/>
      <c r="CT46" s="156"/>
      <c r="CU46" s="156"/>
      <c r="CV46" s="156"/>
      <c r="CW46" s="156"/>
      <c r="CX46" s="156"/>
      <c r="CY46" s="156"/>
      <c r="CZ46" s="156"/>
      <c r="DA46" s="156"/>
      <c r="DB46" s="156"/>
      <c r="DC46" s="156"/>
      <c r="DD46" s="156"/>
      <c r="DE46" s="156"/>
      <c r="DF46" s="156"/>
      <c r="DG46" s="156"/>
      <c r="DH46" s="156"/>
      <c r="DI46" s="156"/>
      <c r="DJ46" s="156"/>
      <c r="DK46" s="156"/>
      <c r="DL46" s="156"/>
      <c r="DM46" s="156"/>
      <c r="DN46" s="156"/>
      <c r="DO46" s="156"/>
      <c r="DP46" s="156"/>
      <c r="DQ46" s="156"/>
      <c r="DR46" s="156"/>
      <c r="DS46" s="156"/>
      <c r="DT46" s="156"/>
      <c r="DU46" s="156"/>
      <c r="DV46" s="156"/>
      <c r="DW46" s="156"/>
      <c r="DX46" s="156"/>
      <c r="DY46" s="156"/>
      <c r="DZ46" s="156"/>
      <c r="EA46" s="156"/>
      <c r="EB46" s="156"/>
      <c r="EC46" s="156"/>
      <c r="ED46" s="156"/>
      <c r="EE46" s="156"/>
      <c r="EF46" s="156"/>
      <c r="EG46" s="156"/>
      <c r="EH46" s="156"/>
      <c r="EI46" s="156"/>
      <c r="EJ46" s="156"/>
      <c r="EK46" s="156"/>
      <c r="EL46" s="156"/>
      <c r="EM46" s="156"/>
      <c r="EN46" s="156"/>
      <c r="EO46" s="156"/>
      <c r="EP46" s="156"/>
      <c r="EQ46" s="156"/>
      <c r="ER46" s="156"/>
      <c r="ES46" s="156"/>
      <c r="ET46" s="156"/>
      <c r="EU46" s="156"/>
      <c r="EV46" s="156"/>
      <c r="EW46" s="156"/>
      <c r="EX46" s="156"/>
      <c r="EY46" s="156"/>
      <c r="EZ46" s="156"/>
      <c r="FA46" s="156"/>
      <c r="FB46" s="156"/>
      <c r="FC46" s="156"/>
      <c r="FD46" s="156"/>
      <c r="FE46" s="156"/>
      <c r="FF46" s="156"/>
      <c r="FG46" s="156"/>
      <c r="FH46" s="156"/>
      <c r="FI46" s="156"/>
      <c r="FJ46" s="156"/>
      <c r="FK46" s="156"/>
      <c r="FL46" s="156"/>
      <c r="FM46" s="156"/>
      <c r="FN46" s="156"/>
      <c r="FO46" s="156"/>
      <c r="FP46" s="156"/>
      <c r="FQ46" s="156"/>
      <c r="FR46" s="156"/>
      <c r="FS46" s="156"/>
      <c r="FT46" s="156"/>
      <c r="FU46" s="156"/>
      <c r="FV46" s="156"/>
      <c r="FW46" s="156"/>
      <c r="FX46" s="156"/>
      <c r="FY46" s="156"/>
      <c r="FZ46" s="156"/>
      <c r="GA46" s="156"/>
      <c r="GB46" s="156"/>
      <c r="GC46" s="156"/>
      <c r="GD46" s="156"/>
      <c r="GE46" s="156"/>
      <c r="GF46" s="156"/>
      <c r="GG46" s="156"/>
      <c r="GH46" s="156"/>
      <c r="GI46" s="156"/>
      <c r="GJ46" s="156"/>
      <c r="GK46" s="156"/>
      <c r="GL46" s="156"/>
      <c r="GM46" s="156"/>
    </row>
    <row r="47" spans="1:195" s="160" customFormat="1">
      <c r="A47" s="481" t="s">
        <v>168</v>
      </c>
      <c r="B47" s="157" t="s">
        <v>387</v>
      </c>
      <c r="C47" s="449">
        <v>-2623002.3591006463</v>
      </c>
      <c r="D47" s="196"/>
      <c r="E47"/>
      <c r="F47"/>
      <c r="G47"/>
      <c r="H47"/>
      <c r="I47"/>
      <c r="J47"/>
      <c r="K47"/>
      <c r="L47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  <c r="Z47" s="185"/>
      <c r="AA47" s="185"/>
      <c r="AB47" s="185"/>
      <c r="AC47" s="185"/>
      <c r="AD47" s="185"/>
      <c r="AE47" s="185"/>
      <c r="AF47" s="185"/>
      <c r="AG47" s="185"/>
      <c r="AH47" s="185"/>
      <c r="AI47" s="185"/>
      <c r="AJ47" s="185"/>
      <c r="AK47" s="185"/>
      <c r="AL47" s="185"/>
      <c r="AM47" s="185"/>
      <c r="AN47" s="185"/>
      <c r="AO47" s="185"/>
      <c r="AP47" s="185"/>
      <c r="AQ47" s="185"/>
      <c r="AR47" s="185"/>
      <c r="AS47" s="185"/>
      <c r="AT47" s="185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5"/>
      <c r="BJ47" s="185"/>
      <c r="BK47" s="185"/>
      <c r="BL47" s="185"/>
      <c r="BM47" s="185"/>
      <c r="BN47" s="185"/>
      <c r="BO47" s="185"/>
      <c r="BP47" s="185"/>
      <c r="BQ47" s="185"/>
      <c r="BR47" s="185"/>
      <c r="BS47" s="185"/>
      <c r="BT47" s="185"/>
      <c r="BU47" s="185"/>
      <c r="BV47" s="185"/>
      <c r="BW47" s="185"/>
      <c r="BX47" s="185"/>
      <c r="BY47" s="185"/>
      <c r="BZ47" s="185"/>
      <c r="CA47" s="185"/>
      <c r="CB47" s="185"/>
      <c r="CC47" s="185"/>
      <c r="CD47" s="185"/>
      <c r="CE47" s="185"/>
      <c r="CF47" s="185"/>
      <c r="CG47" s="185"/>
      <c r="CH47" s="185"/>
      <c r="CI47" s="185"/>
      <c r="CJ47" s="185"/>
      <c r="CK47" s="185"/>
      <c r="CL47" s="185"/>
      <c r="CM47" s="185"/>
      <c r="CN47" s="185"/>
      <c r="CO47" s="185"/>
      <c r="CP47" s="185"/>
      <c r="CQ47" s="185"/>
      <c r="CR47" s="185"/>
      <c r="CS47" s="185"/>
      <c r="CT47" s="185"/>
      <c r="CU47" s="185"/>
      <c r="CV47" s="185"/>
      <c r="CW47" s="185"/>
      <c r="CX47" s="185"/>
      <c r="CY47" s="185"/>
      <c r="CZ47" s="185"/>
      <c r="DA47" s="185"/>
      <c r="DB47" s="185"/>
      <c r="DC47" s="185"/>
      <c r="DD47" s="185"/>
      <c r="DE47" s="185"/>
      <c r="DF47" s="185"/>
      <c r="DG47" s="185"/>
      <c r="DH47" s="185"/>
      <c r="DI47" s="185"/>
      <c r="DJ47" s="185"/>
      <c r="DK47" s="185"/>
      <c r="DL47" s="185"/>
      <c r="DM47" s="185"/>
      <c r="DN47" s="185"/>
      <c r="DO47" s="185"/>
      <c r="DP47" s="185"/>
      <c r="DQ47" s="185"/>
      <c r="DR47" s="185"/>
      <c r="DS47" s="185"/>
      <c r="DT47" s="185"/>
      <c r="DU47" s="185"/>
      <c r="DV47" s="185"/>
      <c r="DW47" s="185"/>
      <c r="DX47" s="185"/>
      <c r="DY47" s="185"/>
      <c r="DZ47" s="185"/>
      <c r="EA47" s="185"/>
      <c r="EB47" s="185"/>
      <c r="EC47" s="185"/>
      <c r="ED47" s="185"/>
      <c r="EE47" s="185"/>
      <c r="EF47" s="185"/>
      <c r="EG47" s="185"/>
      <c r="EH47" s="185"/>
      <c r="EI47" s="185"/>
      <c r="EJ47" s="185"/>
      <c r="EK47" s="185"/>
      <c r="EL47" s="185"/>
      <c r="EM47" s="185"/>
      <c r="EN47" s="185"/>
      <c r="EO47" s="185"/>
      <c r="EP47" s="185"/>
      <c r="EQ47" s="185"/>
      <c r="ER47" s="185"/>
      <c r="ES47" s="185"/>
      <c r="ET47" s="185"/>
      <c r="EU47" s="185"/>
      <c r="EV47" s="185"/>
      <c r="EW47" s="185"/>
      <c r="EX47" s="185"/>
      <c r="EY47" s="185"/>
      <c r="EZ47" s="185"/>
      <c r="FA47" s="185"/>
      <c r="FB47" s="185"/>
      <c r="FC47" s="185"/>
      <c r="FD47" s="185"/>
      <c r="FE47" s="185"/>
      <c r="FF47" s="185"/>
      <c r="FG47" s="185"/>
      <c r="FH47" s="185"/>
      <c r="FI47" s="185"/>
      <c r="FJ47" s="185"/>
      <c r="FK47" s="185"/>
      <c r="FL47" s="185"/>
      <c r="FM47" s="185"/>
      <c r="FN47" s="185"/>
      <c r="FO47" s="185"/>
      <c r="FP47" s="185"/>
      <c r="FQ47" s="185"/>
      <c r="FR47" s="185"/>
      <c r="FS47" s="185"/>
      <c r="FT47" s="185"/>
      <c r="FU47" s="185"/>
      <c r="FV47" s="185"/>
      <c r="FW47" s="185"/>
      <c r="FX47" s="185"/>
      <c r="FY47" s="185"/>
      <c r="FZ47" s="185"/>
      <c r="GA47" s="185"/>
      <c r="GB47" s="185"/>
      <c r="GC47" s="185"/>
      <c r="GD47" s="185"/>
      <c r="GE47" s="185"/>
      <c r="GF47" s="185"/>
      <c r="GG47" s="185"/>
      <c r="GH47" s="185"/>
      <c r="GI47" s="185"/>
      <c r="GJ47" s="185"/>
      <c r="GK47" s="185"/>
      <c r="GL47" s="185"/>
      <c r="GM47" s="185"/>
    </row>
    <row r="48" spans="1:195" s="160" customFormat="1">
      <c r="A48" s="482"/>
      <c r="B48" s="166" t="s">
        <v>388</v>
      </c>
      <c r="C48" s="450">
        <v>-478833.01983999996</v>
      </c>
      <c r="D48"/>
      <c r="E48"/>
      <c r="F48"/>
      <c r="G48"/>
      <c r="H48"/>
      <c r="I48"/>
      <c r="J48"/>
      <c r="K48"/>
      <c r="L48"/>
      <c r="M48" s="185"/>
      <c r="N48" s="185"/>
      <c r="O48" s="185"/>
      <c r="P48" s="185"/>
      <c r="Q48" s="185"/>
      <c r="R48" s="185"/>
      <c r="S48" s="185"/>
      <c r="T48" s="185"/>
      <c r="U48" s="185"/>
      <c r="V48" s="185"/>
      <c r="W48" s="185"/>
      <c r="X48" s="185"/>
      <c r="Y48" s="185"/>
      <c r="Z48" s="185"/>
      <c r="AA48" s="185"/>
      <c r="AB48" s="185"/>
      <c r="AC48" s="185"/>
      <c r="AD48" s="185"/>
      <c r="AE48" s="185"/>
      <c r="AF48" s="185"/>
      <c r="AG48" s="185"/>
      <c r="AH48" s="185"/>
      <c r="AI48" s="185"/>
      <c r="AJ48" s="185"/>
      <c r="AK48" s="185"/>
      <c r="AL48" s="185"/>
      <c r="AM48" s="185"/>
      <c r="AN48" s="185"/>
      <c r="AO48" s="185"/>
      <c r="AP48" s="185"/>
      <c r="AQ48" s="185"/>
      <c r="AR48" s="185"/>
      <c r="AS48" s="185"/>
      <c r="AT48" s="185"/>
      <c r="AU48" s="185"/>
      <c r="AV48" s="185"/>
      <c r="AW48" s="185"/>
      <c r="AX48" s="185"/>
      <c r="AY48" s="185"/>
      <c r="AZ48" s="185"/>
      <c r="BA48" s="185"/>
      <c r="BB48" s="185"/>
      <c r="BC48" s="185"/>
      <c r="BD48" s="185"/>
      <c r="BE48" s="185"/>
      <c r="BF48" s="185"/>
      <c r="BG48" s="185"/>
      <c r="BH48" s="185"/>
      <c r="BI48" s="185"/>
      <c r="BJ48" s="185"/>
      <c r="BK48" s="185"/>
      <c r="BL48" s="185"/>
      <c r="BM48" s="185"/>
      <c r="BN48" s="185"/>
      <c r="BO48" s="185"/>
      <c r="BP48" s="185"/>
      <c r="BQ48" s="185"/>
      <c r="BR48" s="185"/>
      <c r="BS48" s="185"/>
      <c r="BT48" s="185"/>
      <c r="BU48" s="185"/>
      <c r="BV48" s="185"/>
      <c r="BW48" s="185"/>
      <c r="BX48" s="185"/>
      <c r="BY48" s="185"/>
      <c r="BZ48" s="185"/>
      <c r="CA48" s="185"/>
      <c r="CB48" s="185"/>
      <c r="CC48" s="185"/>
      <c r="CD48" s="185"/>
      <c r="CE48" s="185"/>
      <c r="CF48" s="185"/>
      <c r="CG48" s="185"/>
      <c r="CH48" s="185"/>
      <c r="CI48" s="185"/>
      <c r="CJ48" s="185"/>
      <c r="CK48" s="185"/>
      <c r="CL48" s="185"/>
      <c r="CM48" s="185"/>
      <c r="CN48" s="185"/>
      <c r="CO48" s="185"/>
      <c r="CP48" s="185"/>
      <c r="CQ48" s="185"/>
      <c r="CR48" s="185"/>
      <c r="CS48" s="185"/>
      <c r="CT48" s="185"/>
      <c r="CU48" s="185"/>
      <c r="CV48" s="185"/>
      <c r="CW48" s="185"/>
      <c r="CX48" s="185"/>
      <c r="CY48" s="185"/>
      <c r="CZ48" s="185"/>
      <c r="DA48" s="185"/>
      <c r="DB48" s="185"/>
      <c r="DC48" s="185"/>
      <c r="DD48" s="185"/>
      <c r="DE48" s="185"/>
      <c r="DF48" s="185"/>
      <c r="DG48" s="185"/>
      <c r="DH48" s="185"/>
      <c r="DI48" s="185"/>
      <c r="DJ48" s="185"/>
      <c r="DK48" s="185"/>
      <c r="DL48" s="185"/>
      <c r="DM48" s="185"/>
      <c r="DN48" s="185"/>
      <c r="DO48" s="185"/>
      <c r="DP48" s="185"/>
      <c r="DQ48" s="185"/>
      <c r="DR48" s="185"/>
      <c r="DS48" s="185"/>
      <c r="DT48" s="185"/>
      <c r="DU48" s="185"/>
      <c r="DV48" s="185"/>
      <c r="DW48" s="185"/>
      <c r="DX48" s="185"/>
      <c r="DY48" s="185"/>
      <c r="DZ48" s="185"/>
      <c r="EA48" s="185"/>
      <c r="EB48" s="185"/>
      <c r="EC48" s="185"/>
      <c r="ED48" s="185"/>
      <c r="EE48" s="185"/>
      <c r="EF48" s="185"/>
      <c r="EG48" s="185"/>
      <c r="EH48" s="185"/>
      <c r="EI48" s="185"/>
      <c r="EJ48" s="185"/>
      <c r="EK48" s="185"/>
      <c r="EL48" s="185"/>
      <c r="EM48" s="185"/>
      <c r="EN48" s="185"/>
      <c r="EO48" s="185"/>
      <c r="EP48" s="185"/>
      <c r="EQ48" s="185"/>
      <c r="ER48" s="185"/>
      <c r="ES48" s="185"/>
      <c r="ET48" s="185"/>
      <c r="EU48" s="185"/>
      <c r="EV48" s="185"/>
      <c r="EW48" s="185"/>
      <c r="EX48" s="185"/>
      <c r="EY48" s="185"/>
      <c r="EZ48" s="185"/>
      <c r="FA48" s="185"/>
      <c r="FB48" s="185"/>
      <c r="FC48" s="185"/>
      <c r="FD48" s="185"/>
      <c r="FE48" s="185"/>
      <c r="FF48" s="185"/>
      <c r="FG48" s="185"/>
      <c r="FH48" s="185"/>
      <c r="FI48" s="185"/>
      <c r="FJ48" s="185"/>
      <c r="FK48" s="185"/>
      <c r="FL48" s="185"/>
      <c r="FM48" s="185"/>
      <c r="FN48" s="185"/>
      <c r="FO48" s="185"/>
      <c r="FP48" s="185"/>
      <c r="FQ48" s="185"/>
      <c r="FR48" s="185"/>
      <c r="FS48" s="185"/>
      <c r="FT48" s="185"/>
      <c r="FU48" s="185"/>
      <c r="FV48" s="185"/>
      <c r="FW48" s="185"/>
      <c r="FX48" s="185"/>
      <c r="FY48" s="185"/>
      <c r="FZ48" s="185"/>
      <c r="GA48" s="185"/>
      <c r="GB48" s="185"/>
      <c r="GC48" s="185"/>
      <c r="GD48" s="185"/>
      <c r="GE48" s="185"/>
      <c r="GF48" s="185"/>
      <c r="GG48" s="185"/>
      <c r="GH48" s="185"/>
      <c r="GI48" s="185"/>
      <c r="GJ48" s="185"/>
      <c r="GK48" s="185"/>
      <c r="GL48" s="185"/>
      <c r="GM48" s="185"/>
    </row>
    <row r="49" spans="1:195" s="169" customFormat="1">
      <c r="A49" s="483"/>
      <c r="B49" s="167" t="s">
        <v>170</v>
      </c>
      <c r="C49" s="451">
        <v>-3101835.3789406465</v>
      </c>
      <c r="D49"/>
      <c r="E49"/>
      <c r="F49"/>
      <c r="G49"/>
      <c r="H49"/>
      <c r="I49"/>
      <c r="J49"/>
      <c r="K49"/>
      <c r="L49"/>
      <c r="M49" s="185"/>
      <c r="N49" s="185"/>
      <c r="O49" s="185"/>
      <c r="P49" s="185"/>
      <c r="Q49" s="185"/>
      <c r="R49" s="185"/>
      <c r="S49" s="185"/>
      <c r="T49" s="185"/>
      <c r="U49" s="185"/>
      <c r="V49" s="185"/>
      <c r="W49" s="185"/>
      <c r="X49" s="185"/>
      <c r="Y49" s="185"/>
      <c r="Z49" s="185"/>
      <c r="AA49" s="185"/>
      <c r="AB49" s="185"/>
      <c r="AC49" s="185"/>
      <c r="AD49" s="185"/>
      <c r="AE49" s="185"/>
      <c r="AF49" s="185"/>
      <c r="AG49" s="185"/>
      <c r="AH49" s="185"/>
      <c r="AI49" s="185"/>
      <c r="AJ49" s="185"/>
      <c r="AK49" s="185"/>
      <c r="AL49" s="185"/>
      <c r="AM49" s="185"/>
      <c r="AN49" s="185"/>
      <c r="AO49" s="185"/>
      <c r="AP49" s="185"/>
      <c r="AQ49" s="185"/>
      <c r="AR49" s="185"/>
      <c r="AS49" s="185"/>
      <c r="AT49" s="185"/>
      <c r="AU49" s="185"/>
      <c r="AV49" s="185"/>
      <c r="AW49" s="185"/>
      <c r="AX49" s="185"/>
      <c r="AY49" s="185"/>
      <c r="AZ49" s="185"/>
      <c r="BA49" s="185"/>
      <c r="BB49" s="185"/>
      <c r="BC49" s="185"/>
      <c r="BD49" s="185"/>
      <c r="BE49" s="185"/>
      <c r="BF49" s="185"/>
      <c r="BG49" s="185"/>
      <c r="BH49" s="185"/>
      <c r="BI49" s="185"/>
      <c r="BJ49" s="185"/>
      <c r="BK49" s="185"/>
      <c r="BL49" s="185"/>
      <c r="BM49" s="185"/>
      <c r="BN49" s="185"/>
      <c r="BO49" s="185"/>
      <c r="BP49" s="185"/>
      <c r="BQ49" s="185"/>
      <c r="BR49" s="185"/>
      <c r="BS49" s="185"/>
      <c r="BT49" s="185"/>
      <c r="BU49" s="185"/>
      <c r="BV49" s="185"/>
      <c r="BW49" s="185"/>
      <c r="BX49" s="185"/>
      <c r="BY49" s="185"/>
      <c r="BZ49" s="185"/>
      <c r="CA49" s="185"/>
      <c r="CB49" s="185"/>
      <c r="CC49" s="185"/>
      <c r="CD49" s="185"/>
      <c r="CE49" s="185"/>
      <c r="CF49" s="185"/>
      <c r="CG49" s="185"/>
      <c r="CH49" s="185"/>
      <c r="CI49" s="185"/>
      <c r="CJ49" s="185"/>
      <c r="CK49" s="185"/>
      <c r="CL49" s="185"/>
      <c r="CM49" s="185"/>
      <c r="CN49" s="185"/>
      <c r="CO49" s="185"/>
      <c r="CP49" s="185"/>
      <c r="CQ49" s="185"/>
      <c r="CR49" s="185"/>
      <c r="CS49" s="185"/>
      <c r="CT49" s="185"/>
      <c r="CU49" s="185"/>
      <c r="CV49" s="185"/>
      <c r="CW49" s="185"/>
      <c r="CX49" s="185"/>
      <c r="CY49" s="185"/>
      <c r="CZ49" s="185"/>
      <c r="DA49" s="185"/>
      <c r="DB49" s="185"/>
      <c r="DC49" s="185"/>
      <c r="DD49" s="185"/>
      <c r="DE49" s="185"/>
      <c r="DF49" s="185"/>
      <c r="DG49" s="185"/>
      <c r="DH49" s="185"/>
      <c r="DI49" s="185"/>
      <c r="DJ49" s="185"/>
      <c r="DK49" s="185"/>
      <c r="DL49" s="185"/>
      <c r="DM49" s="185"/>
      <c r="DN49" s="185"/>
      <c r="DO49" s="185"/>
      <c r="DP49" s="185"/>
      <c r="DQ49" s="185"/>
      <c r="DR49" s="185"/>
      <c r="DS49" s="185"/>
      <c r="DT49" s="185"/>
      <c r="DU49" s="185"/>
      <c r="DV49" s="185"/>
      <c r="DW49" s="185"/>
      <c r="DX49" s="185"/>
      <c r="DY49" s="185"/>
      <c r="DZ49" s="185"/>
      <c r="EA49" s="185"/>
      <c r="EB49" s="185"/>
      <c r="EC49" s="185"/>
      <c r="ED49" s="185"/>
      <c r="EE49" s="185"/>
      <c r="EF49" s="185"/>
      <c r="EG49" s="185"/>
      <c r="EH49" s="185"/>
      <c r="EI49" s="185"/>
      <c r="EJ49" s="185"/>
      <c r="EK49" s="185"/>
      <c r="EL49" s="185"/>
      <c r="EM49" s="185"/>
      <c r="EN49" s="185"/>
      <c r="EO49" s="185"/>
      <c r="EP49" s="185"/>
      <c r="EQ49" s="185"/>
      <c r="ER49" s="185"/>
      <c r="ES49" s="185"/>
      <c r="ET49" s="185"/>
      <c r="EU49" s="185"/>
      <c r="EV49" s="185"/>
      <c r="EW49" s="185"/>
      <c r="EX49" s="185"/>
      <c r="EY49" s="185"/>
      <c r="EZ49" s="185"/>
      <c r="FA49" s="185"/>
      <c r="FB49" s="185"/>
      <c r="FC49" s="185"/>
      <c r="FD49" s="185"/>
      <c r="FE49" s="185"/>
      <c r="FF49" s="185"/>
      <c r="FG49" s="185"/>
      <c r="FH49" s="185"/>
      <c r="FI49" s="185"/>
      <c r="FJ49" s="185"/>
      <c r="FK49" s="185"/>
      <c r="FL49" s="185"/>
      <c r="FM49" s="185"/>
      <c r="FN49" s="185"/>
      <c r="FO49" s="185"/>
      <c r="FP49" s="185"/>
      <c r="FQ49" s="185"/>
      <c r="FR49" s="185"/>
      <c r="FS49" s="185"/>
      <c r="FT49" s="185"/>
      <c r="FU49" s="185"/>
      <c r="FV49" s="185"/>
      <c r="FW49" s="185"/>
      <c r="FX49" s="185"/>
      <c r="FY49" s="185"/>
      <c r="FZ49" s="185"/>
      <c r="GA49" s="185"/>
      <c r="GB49" s="185"/>
      <c r="GC49" s="185"/>
      <c r="GD49" s="185"/>
      <c r="GE49" s="185"/>
      <c r="GF49" s="185"/>
      <c r="GG49" s="185"/>
      <c r="GH49" s="185"/>
      <c r="GI49" s="185"/>
      <c r="GJ49" s="185"/>
      <c r="GK49" s="185"/>
      <c r="GL49" s="185"/>
      <c r="GM49" s="185"/>
    </row>
    <row r="50" spans="1:195" s="176" customFormat="1">
      <c r="A50" s="484" t="s">
        <v>169</v>
      </c>
      <c r="B50" s="174" t="s">
        <v>172</v>
      </c>
      <c r="C50" s="449">
        <v>2462586.3000323032</v>
      </c>
      <c r="D50"/>
      <c r="E50"/>
      <c r="F50"/>
      <c r="G50"/>
      <c r="H50"/>
      <c r="I50"/>
      <c r="J50"/>
      <c r="K50"/>
      <c r="L50"/>
      <c r="M50" s="185"/>
      <c r="N50" s="185"/>
      <c r="O50" s="185"/>
      <c r="P50" s="185"/>
      <c r="Q50" s="185"/>
      <c r="R50" s="185"/>
      <c r="S50" s="185"/>
      <c r="T50" s="185"/>
      <c r="U50" s="185"/>
      <c r="V50" s="185"/>
      <c r="W50" s="185"/>
      <c r="X50" s="185"/>
      <c r="Y50" s="185"/>
      <c r="Z50" s="185"/>
      <c r="AA50" s="185"/>
      <c r="AB50" s="185"/>
      <c r="AC50" s="185"/>
      <c r="AD50" s="185"/>
      <c r="AE50" s="185"/>
      <c r="AF50" s="185"/>
      <c r="AG50" s="185"/>
      <c r="AH50" s="185"/>
      <c r="AI50" s="185"/>
      <c r="AJ50" s="185"/>
      <c r="AK50" s="185"/>
      <c r="AL50" s="185"/>
      <c r="AM50" s="185"/>
      <c r="AN50" s="185"/>
      <c r="AO50" s="185"/>
      <c r="AP50" s="185"/>
      <c r="AQ50" s="185"/>
      <c r="AR50" s="185"/>
      <c r="AS50" s="185"/>
      <c r="AT50" s="185"/>
      <c r="AU50" s="185"/>
      <c r="AV50" s="185"/>
      <c r="AW50" s="185"/>
      <c r="AX50" s="185"/>
      <c r="AY50" s="185"/>
      <c r="AZ50" s="185"/>
      <c r="BA50" s="185"/>
      <c r="BB50" s="185"/>
      <c r="BC50" s="185"/>
      <c r="BD50" s="185"/>
      <c r="BE50" s="185"/>
      <c r="BF50" s="185"/>
      <c r="BG50" s="185"/>
      <c r="BH50" s="185"/>
      <c r="BI50" s="185"/>
      <c r="BJ50" s="185"/>
      <c r="BK50" s="185"/>
      <c r="BL50" s="185"/>
      <c r="BM50" s="185"/>
      <c r="BN50" s="185"/>
      <c r="BO50" s="185"/>
      <c r="BP50" s="185"/>
      <c r="BQ50" s="185"/>
      <c r="BR50" s="185"/>
      <c r="BS50" s="185"/>
      <c r="BT50" s="185"/>
      <c r="BU50" s="185"/>
      <c r="BV50" s="185"/>
      <c r="BW50" s="185"/>
      <c r="BX50" s="185"/>
      <c r="BY50" s="185"/>
      <c r="BZ50" s="185"/>
      <c r="CA50" s="185"/>
      <c r="CB50" s="185"/>
      <c r="CC50" s="185"/>
      <c r="CD50" s="185"/>
      <c r="CE50" s="185"/>
      <c r="CF50" s="185"/>
      <c r="CG50" s="185"/>
      <c r="CH50" s="185"/>
      <c r="CI50" s="185"/>
      <c r="CJ50" s="185"/>
      <c r="CK50" s="185"/>
      <c r="CL50" s="185"/>
      <c r="CM50" s="185"/>
      <c r="CN50" s="185"/>
      <c r="CO50" s="185"/>
      <c r="CP50" s="185"/>
      <c r="CQ50" s="185"/>
      <c r="CR50" s="185"/>
      <c r="CS50" s="185"/>
      <c r="CT50" s="185"/>
      <c r="CU50" s="185"/>
      <c r="CV50" s="185"/>
      <c r="CW50" s="185"/>
      <c r="CX50" s="185"/>
      <c r="CY50" s="185"/>
      <c r="CZ50" s="185"/>
      <c r="DA50" s="185"/>
      <c r="DB50" s="185"/>
      <c r="DC50" s="185"/>
      <c r="DD50" s="185"/>
      <c r="DE50" s="185"/>
      <c r="DF50" s="185"/>
      <c r="DG50" s="185"/>
      <c r="DH50" s="185"/>
      <c r="DI50" s="185"/>
      <c r="DJ50" s="185"/>
      <c r="DK50" s="185"/>
      <c r="DL50" s="185"/>
      <c r="DM50" s="185"/>
      <c r="DN50" s="185"/>
      <c r="DO50" s="185"/>
      <c r="DP50" s="185"/>
      <c r="DQ50" s="185"/>
      <c r="DR50" s="185"/>
      <c r="DS50" s="185"/>
      <c r="DT50" s="185"/>
      <c r="DU50" s="185"/>
      <c r="DV50" s="185"/>
      <c r="DW50" s="185"/>
      <c r="DX50" s="185"/>
      <c r="DY50" s="185"/>
      <c r="DZ50" s="185"/>
      <c r="EA50" s="185"/>
      <c r="EB50" s="185"/>
      <c r="EC50" s="185"/>
      <c r="ED50" s="185"/>
      <c r="EE50" s="185"/>
      <c r="EF50" s="185"/>
      <c r="EG50" s="185"/>
      <c r="EH50" s="185"/>
      <c r="EI50" s="185"/>
      <c r="EJ50" s="185"/>
      <c r="EK50" s="185"/>
      <c r="EL50" s="185"/>
      <c r="EM50" s="185"/>
      <c r="EN50" s="185"/>
      <c r="EO50" s="185"/>
      <c r="EP50" s="185"/>
      <c r="EQ50" s="185"/>
      <c r="ER50" s="185"/>
      <c r="ES50" s="185"/>
      <c r="ET50" s="185"/>
      <c r="EU50" s="185"/>
      <c r="EV50" s="185"/>
      <c r="EW50" s="185"/>
      <c r="EX50" s="185"/>
      <c r="EY50" s="185"/>
      <c r="EZ50" s="185"/>
      <c r="FA50" s="185"/>
      <c r="FB50" s="185"/>
      <c r="FC50" s="185"/>
      <c r="FD50" s="185"/>
      <c r="FE50" s="185"/>
      <c r="FF50" s="185"/>
      <c r="FG50" s="185"/>
      <c r="FH50" s="185"/>
      <c r="FI50" s="185"/>
      <c r="FJ50" s="185"/>
      <c r="FK50" s="185"/>
      <c r="FL50" s="185"/>
      <c r="FM50" s="185"/>
      <c r="FN50" s="185"/>
      <c r="FO50" s="185"/>
      <c r="FP50" s="185"/>
      <c r="FQ50" s="185"/>
      <c r="FR50" s="185"/>
      <c r="FS50" s="185"/>
      <c r="FT50" s="185"/>
      <c r="FU50" s="185"/>
      <c r="FV50" s="185"/>
      <c r="FW50" s="185"/>
      <c r="FX50" s="185"/>
      <c r="FY50" s="185"/>
      <c r="FZ50" s="185"/>
      <c r="GA50" s="185"/>
      <c r="GB50" s="185"/>
      <c r="GC50" s="185"/>
      <c r="GD50" s="185"/>
      <c r="GE50" s="185"/>
      <c r="GF50" s="185"/>
      <c r="GG50" s="185"/>
      <c r="GH50" s="185"/>
      <c r="GI50" s="185"/>
      <c r="GJ50" s="185"/>
      <c r="GK50" s="185"/>
      <c r="GL50" s="185"/>
      <c r="GM50" s="185"/>
    </row>
    <row r="51" spans="1:195" s="176" customFormat="1">
      <c r="A51" s="510"/>
      <c r="B51" s="195" t="s">
        <v>173</v>
      </c>
      <c r="C51" s="452">
        <v>111484.32500000001</v>
      </c>
      <c r="D51"/>
      <c r="E51"/>
      <c r="F51"/>
      <c r="G51"/>
      <c r="H51"/>
      <c r="I51"/>
      <c r="J51"/>
      <c r="K51"/>
      <c r="L51"/>
      <c r="M51" s="185"/>
      <c r="N51" s="185"/>
      <c r="O51" s="185"/>
      <c r="P51" s="185"/>
      <c r="Q51" s="185"/>
      <c r="R51" s="185"/>
      <c r="S51" s="185"/>
      <c r="T51" s="185"/>
      <c r="U51" s="185"/>
      <c r="V51" s="185"/>
      <c r="W51" s="185"/>
      <c r="X51" s="185"/>
      <c r="Y51" s="185"/>
      <c r="Z51" s="185"/>
      <c r="AA51" s="185"/>
      <c r="AB51" s="185"/>
      <c r="AC51" s="185"/>
      <c r="AD51" s="185"/>
      <c r="AE51" s="185"/>
      <c r="AF51" s="185"/>
      <c r="AG51" s="185"/>
      <c r="AH51" s="185"/>
      <c r="AI51" s="185"/>
      <c r="AJ51" s="185"/>
      <c r="AK51" s="185"/>
      <c r="AL51" s="185"/>
      <c r="AM51" s="185"/>
      <c r="AN51" s="185"/>
      <c r="AO51" s="185"/>
      <c r="AP51" s="185"/>
      <c r="AQ51" s="185"/>
      <c r="AR51" s="185"/>
      <c r="AS51" s="185"/>
      <c r="AT51" s="185"/>
      <c r="AU51" s="185"/>
      <c r="AV51" s="185"/>
      <c r="AW51" s="185"/>
      <c r="AX51" s="185"/>
      <c r="AY51" s="185"/>
      <c r="AZ51" s="185"/>
      <c r="BA51" s="185"/>
      <c r="BB51" s="185"/>
      <c r="BC51" s="185"/>
      <c r="BD51" s="185"/>
      <c r="BE51" s="185"/>
      <c r="BF51" s="185"/>
      <c r="BG51" s="185"/>
      <c r="BH51" s="185"/>
      <c r="BI51" s="185"/>
      <c r="BJ51" s="185"/>
      <c r="BK51" s="185"/>
      <c r="BL51" s="185"/>
      <c r="BM51" s="185"/>
      <c r="BN51" s="185"/>
      <c r="BO51" s="185"/>
      <c r="BP51" s="185"/>
      <c r="BQ51" s="185"/>
      <c r="BR51" s="185"/>
      <c r="BS51" s="185"/>
      <c r="BT51" s="185"/>
      <c r="BU51" s="185"/>
      <c r="BV51" s="185"/>
      <c r="BW51" s="185"/>
      <c r="BX51" s="185"/>
      <c r="BY51" s="185"/>
      <c r="BZ51" s="185"/>
      <c r="CA51" s="185"/>
      <c r="CB51" s="185"/>
      <c r="CC51" s="185"/>
      <c r="CD51" s="185"/>
      <c r="CE51" s="185"/>
      <c r="CF51" s="185"/>
      <c r="CG51" s="185"/>
      <c r="CH51" s="185"/>
      <c r="CI51" s="185"/>
      <c r="CJ51" s="185"/>
      <c r="CK51" s="185"/>
      <c r="CL51" s="185"/>
      <c r="CM51" s="185"/>
      <c r="CN51" s="185"/>
      <c r="CO51" s="185"/>
      <c r="CP51" s="185"/>
      <c r="CQ51" s="185"/>
      <c r="CR51" s="185"/>
      <c r="CS51" s="185"/>
      <c r="CT51" s="185"/>
      <c r="CU51" s="185"/>
      <c r="CV51" s="185"/>
      <c r="CW51" s="185"/>
      <c r="CX51" s="185"/>
      <c r="CY51" s="185"/>
      <c r="CZ51" s="185"/>
      <c r="DA51" s="185"/>
      <c r="DB51" s="185"/>
      <c r="DC51" s="185"/>
      <c r="DD51" s="185"/>
      <c r="DE51" s="185"/>
      <c r="DF51" s="185"/>
      <c r="DG51" s="185"/>
      <c r="DH51" s="185"/>
      <c r="DI51" s="185"/>
      <c r="DJ51" s="185"/>
      <c r="DK51" s="185"/>
      <c r="DL51" s="185"/>
      <c r="DM51" s="185"/>
      <c r="DN51" s="185"/>
      <c r="DO51" s="185"/>
      <c r="DP51" s="185"/>
      <c r="DQ51" s="185"/>
      <c r="DR51" s="185"/>
      <c r="DS51" s="185"/>
      <c r="DT51" s="185"/>
      <c r="DU51" s="185"/>
      <c r="DV51" s="185"/>
      <c r="DW51" s="185"/>
      <c r="DX51" s="185"/>
      <c r="DY51" s="185"/>
      <c r="DZ51" s="185"/>
      <c r="EA51" s="185"/>
      <c r="EB51" s="185"/>
      <c r="EC51" s="185"/>
      <c r="ED51" s="185"/>
      <c r="EE51" s="185"/>
      <c r="EF51" s="185"/>
      <c r="EG51" s="185"/>
      <c r="EH51" s="185"/>
      <c r="EI51" s="185"/>
      <c r="EJ51" s="185"/>
      <c r="EK51" s="185"/>
      <c r="EL51" s="185"/>
      <c r="EM51" s="185"/>
      <c r="EN51" s="185"/>
      <c r="EO51" s="185"/>
      <c r="EP51" s="185"/>
      <c r="EQ51" s="185"/>
      <c r="ER51" s="185"/>
      <c r="ES51" s="185"/>
      <c r="ET51" s="185"/>
      <c r="EU51" s="185"/>
      <c r="EV51" s="185"/>
      <c r="EW51" s="185"/>
      <c r="EX51" s="185"/>
      <c r="EY51" s="185"/>
      <c r="EZ51" s="185"/>
      <c r="FA51" s="185"/>
      <c r="FB51" s="185"/>
      <c r="FC51" s="185"/>
      <c r="FD51" s="185"/>
      <c r="FE51" s="185"/>
      <c r="FF51" s="185"/>
      <c r="FG51" s="185"/>
      <c r="FH51" s="185"/>
      <c r="FI51" s="185"/>
      <c r="FJ51" s="185"/>
      <c r="FK51" s="185"/>
      <c r="FL51" s="185"/>
      <c r="FM51" s="185"/>
      <c r="FN51" s="185"/>
      <c r="FO51" s="185"/>
      <c r="FP51" s="185"/>
      <c r="FQ51" s="185"/>
      <c r="FR51" s="185"/>
      <c r="FS51" s="185"/>
      <c r="FT51" s="185"/>
      <c r="FU51" s="185"/>
      <c r="FV51" s="185"/>
      <c r="FW51" s="185"/>
      <c r="FX51" s="185"/>
      <c r="FY51" s="185"/>
      <c r="FZ51" s="185"/>
      <c r="GA51" s="185"/>
      <c r="GB51" s="185"/>
      <c r="GC51" s="185"/>
      <c r="GD51" s="185"/>
      <c r="GE51" s="185"/>
      <c r="GF51" s="185"/>
      <c r="GG51" s="185"/>
      <c r="GH51" s="185"/>
      <c r="GI51" s="185"/>
      <c r="GJ51" s="185"/>
      <c r="GK51" s="185"/>
      <c r="GL51" s="185"/>
      <c r="GM51" s="185"/>
    </row>
    <row r="52" spans="1:195" s="176" customFormat="1">
      <c r="A52" s="510"/>
      <c r="B52" s="195" t="s">
        <v>340</v>
      </c>
      <c r="C52" s="452">
        <v>513222.1999999999</v>
      </c>
      <c r="D52"/>
      <c r="E52"/>
      <c r="F52"/>
      <c r="G52"/>
      <c r="H52"/>
      <c r="I52"/>
      <c r="J52"/>
      <c r="K52"/>
      <c r="L52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5"/>
      <c r="AS52" s="185"/>
      <c r="AT52" s="185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5"/>
      <c r="BJ52" s="185"/>
      <c r="BK52" s="185"/>
      <c r="BL52" s="185"/>
      <c r="BM52" s="185"/>
      <c r="BN52" s="185"/>
      <c r="BO52" s="185"/>
      <c r="BP52" s="185"/>
      <c r="BQ52" s="185"/>
      <c r="BR52" s="185"/>
      <c r="BS52" s="185"/>
      <c r="BT52" s="185"/>
      <c r="BU52" s="185"/>
      <c r="BV52" s="185"/>
      <c r="BW52" s="185"/>
      <c r="BX52" s="185"/>
      <c r="BY52" s="185"/>
      <c r="BZ52" s="185"/>
      <c r="CA52" s="185"/>
      <c r="CB52" s="185"/>
      <c r="CC52" s="185"/>
      <c r="CD52" s="185"/>
      <c r="CE52" s="185"/>
      <c r="CF52" s="185"/>
      <c r="CG52" s="185"/>
      <c r="CH52" s="185"/>
      <c r="CI52" s="185"/>
      <c r="CJ52" s="185"/>
      <c r="CK52" s="185"/>
      <c r="CL52" s="185"/>
      <c r="CM52" s="185"/>
      <c r="CN52" s="185"/>
      <c r="CO52" s="185"/>
      <c r="CP52" s="185"/>
      <c r="CQ52" s="185"/>
      <c r="CR52" s="185"/>
      <c r="CS52" s="185"/>
      <c r="CT52" s="185"/>
      <c r="CU52" s="185"/>
      <c r="CV52" s="185"/>
      <c r="CW52" s="185"/>
      <c r="CX52" s="185"/>
      <c r="CY52" s="185"/>
      <c r="CZ52" s="185"/>
      <c r="DA52" s="185"/>
      <c r="DB52" s="185"/>
      <c r="DC52" s="185"/>
      <c r="DD52" s="185"/>
      <c r="DE52" s="185"/>
      <c r="DF52" s="185"/>
      <c r="DG52" s="185"/>
      <c r="DH52" s="185"/>
      <c r="DI52" s="185"/>
      <c r="DJ52" s="185"/>
      <c r="DK52" s="185"/>
      <c r="DL52" s="185"/>
      <c r="DM52" s="185"/>
      <c r="DN52" s="185"/>
      <c r="DO52" s="185"/>
      <c r="DP52" s="185"/>
      <c r="DQ52" s="185"/>
      <c r="DR52" s="185"/>
      <c r="DS52" s="185"/>
      <c r="DT52" s="185"/>
      <c r="DU52" s="185"/>
      <c r="DV52" s="185"/>
      <c r="DW52" s="185"/>
      <c r="DX52" s="185"/>
      <c r="DY52" s="185"/>
      <c r="DZ52" s="185"/>
      <c r="EA52" s="185"/>
      <c r="EB52" s="185"/>
      <c r="EC52" s="185"/>
      <c r="ED52" s="185"/>
      <c r="EE52" s="185"/>
      <c r="EF52" s="185"/>
      <c r="EG52" s="185"/>
      <c r="EH52" s="185"/>
      <c r="EI52" s="185"/>
      <c r="EJ52" s="185"/>
      <c r="EK52" s="185"/>
      <c r="EL52" s="185"/>
      <c r="EM52" s="185"/>
      <c r="EN52" s="185"/>
      <c r="EO52" s="185"/>
      <c r="EP52" s="185"/>
      <c r="EQ52" s="185"/>
      <c r="ER52" s="185"/>
      <c r="ES52" s="185"/>
      <c r="ET52" s="185"/>
      <c r="EU52" s="185"/>
      <c r="EV52" s="185"/>
      <c r="EW52" s="185"/>
      <c r="EX52" s="185"/>
      <c r="EY52" s="185"/>
      <c r="EZ52" s="185"/>
      <c r="FA52" s="185"/>
      <c r="FB52" s="185"/>
      <c r="FC52" s="185"/>
      <c r="FD52" s="185"/>
      <c r="FE52" s="185"/>
      <c r="FF52" s="185"/>
      <c r="FG52" s="185"/>
      <c r="FH52" s="185"/>
      <c r="FI52" s="185"/>
      <c r="FJ52" s="185"/>
      <c r="FK52" s="185"/>
      <c r="FL52" s="185"/>
      <c r="FM52" s="185"/>
      <c r="FN52" s="185"/>
      <c r="FO52" s="185"/>
      <c r="FP52" s="185"/>
      <c r="FQ52" s="185"/>
      <c r="FR52" s="185"/>
      <c r="FS52" s="185"/>
      <c r="FT52" s="185"/>
      <c r="FU52" s="185"/>
      <c r="FV52" s="185"/>
      <c r="FW52" s="185"/>
      <c r="FX52" s="185"/>
      <c r="FY52" s="185"/>
      <c r="FZ52" s="185"/>
      <c r="GA52" s="185"/>
      <c r="GB52" s="185"/>
      <c r="GC52" s="185"/>
      <c r="GD52" s="185"/>
      <c r="GE52" s="185"/>
      <c r="GF52" s="185"/>
      <c r="GG52" s="185"/>
      <c r="GH52" s="185"/>
      <c r="GI52" s="185"/>
      <c r="GJ52" s="185"/>
      <c r="GK52" s="185"/>
      <c r="GL52" s="185"/>
      <c r="GM52" s="185"/>
    </row>
    <row r="53" spans="1:195" s="176" customFormat="1">
      <c r="A53" s="510"/>
      <c r="B53" s="195" t="s">
        <v>341</v>
      </c>
      <c r="C53" s="452">
        <v>12635.76</v>
      </c>
      <c r="D53"/>
      <c r="E53"/>
      <c r="F53"/>
      <c r="G53"/>
      <c r="H53"/>
      <c r="I53"/>
      <c r="J53"/>
      <c r="K53"/>
      <c r="L53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5"/>
      <c r="AS53" s="185"/>
      <c r="AT53" s="185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5"/>
      <c r="BJ53" s="185"/>
      <c r="BK53" s="185"/>
      <c r="BL53" s="185"/>
      <c r="BM53" s="185"/>
      <c r="BN53" s="185"/>
      <c r="BO53" s="185"/>
      <c r="BP53" s="185"/>
      <c r="BQ53" s="185"/>
      <c r="BR53" s="185"/>
      <c r="BS53" s="185"/>
      <c r="BT53" s="185"/>
      <c r="BU53" s="185"/>
      <c r="BV53" s="185"/>
      <c r="BW53" s="185"/>
      <c r="BX53" s="185"/>
      <c r="BY53" s="185"/>
      <c r="BZ53" s="185"/>
      <c r="CA53" s="185"/>
      <c r="CB53" s="185"/>
      <c r="CC53" s="185"/>
      <c r="CD53" s="185"/>
      <c r="CE53" s="185"/>
      <c r="CF53" s="185"/>
      <c r="CG53" s="185"/>
      <c r="CH53" s="185"/>
      <c r="CI53" s="185"/>
      <c r="CJ53" s="185"/>
      <c r="CK53" s="185"/>
      <c r="CL53" s="185"/>
      <c r="CM53" s="185"/>
      <c r="CN53" s="185"/>
      <c r="CO53" s="185"/>
      <c r="CP53" s="185"/>
      <c r="CQ53" s="185"/>
      <c r="CR53" s="185"/>
      <c r="CS53" s="185"/>
      <c r="CT53" s="185"/>
      <c r="CU53" s="185"/>
      <c r="CV53" s="185"/>
      <c r="CW53" s="185"/>
      <c r="CX53" s="185"/>
      <c r="CY53" s="185"/>
      <c r="CZ53" s="185"/>
      <c r="DA53" s="185"/>
      <c r="DB53" s="185"/>
      <c r="DC53" s="185"/>
      <c r="DD53" s="185"/>
      <c r="DE53" s="185"/>
      <c r="DF53" s="185"/>
      <c r="DG53" s="185"/>
      <c r="DH53" s="185"/>
      <c r="DI53" s="185"/>
      <c r="DJ53" s="185"/>
      <c r="DK53" s="185"/>
      <c r="DL53" s="185"/>
      <c r="DM53" s="185"/>
      <c r="DN53" s="185"/>
      <c r="DO53" s="185"/>
      <c r="DP53" s="185"/>
      <c r="DQ53" s="185"/>
      <c r="DR53" s="185"/>
      <c r="DS53" s="185"/>
      <c r="DT53" s="185"/>
      <c r="DU53" s="185"/>
      <c r="DV53" s="185"/>
      <c r="DW53" s="185"/>
      <c r="DX53" s="185"/>
      <c r="DY53" s="185"/>
      <c r="DZ53" s="185"/>
      <c r="EA53" s="185"/>
      <c r="EB53" s="185"/>
      <c r="EC53" s="185"/>
      <c r="ED53" s="185"/>
      <c r="EE53" s="185"/>
      <c r="EF53" s="185"/>
      <c r="EG53" s="185"/>
      <c r="EH53" s="185"/>
      <c r="EI53" s="185"/>
      <c r="EJ53" s="185"/>
      <c r="EK53" s="185"/>
      <c r="EL53" s="185"/>
      <c r="EM53" s="185"/>
      <c r="EN53" s="185"/>
      <c r="EO53" s="185"/>
      <c r="EP53" s="185"/>
      <c r="EQ53" s="185"/>
      <c r="ER53" s="185"/>
      <c r="ES53" s="185"/>
      <c r="ET53" s="185"/>
      <c r="EU53" s="185"/>
      <c r="EV53" s="185"/>
      <c r="EW53" s="185"/>
      <c r="EX53" s="185"/>
      <c r="EY53" s="185"/>
      <c r="EZ53" s="185"/>
      <c r="FA53" s="185"/>
      <c r="FB53" s="185"/>
      <c r="FC53" s="185"/>
      <c r="FD53" s="185"/>
      <c r="FE53" s="185"/>
      <c r="FF53" s="185"/>
      <c r="FG53" s="185"/>
      <c r="FH53" s="185"/>
      <c r="FI53" s="185"/>
      <c r="FJ53" s="185"/>
      <c r="FK53" s="185"/>
      <c r="FL53" s="185"/>
      <c r="FM53" s="185"/>
      <c r="FN53" s="185"/>
      <c r="FO53" s="185"/>
      <c r="FP53" s="185"/>
      <c r="FQ53" s="185"/>
      <c r="FR53" s="185"/>
      <c r="FS53" s="185"/>
      <c r="FT53" s="185"/>
      <c r="FU53" s="185"/>
      <c r="FV53" s="185"/>
      <c r="FW53" s="185"/>
      <c r="FX53" s="185"/>
      <c r="FY53" s="185"/>
      <c r="FZ53" s="185"/>
      <c r="GA53" s="185"/>
      <c r="GB53" s="185"/>
      <c r="GC53" s="185"/>
      <c r="GD53" s="185"/>
      <c r="GE53" s="185"/>
      <c r="GF53" s="185"/>
      <c r="GG53" s="185"/>
      <c r="GH53" s="185"/>
      <c r="GI53" s="185"/>
      <c r="GJ53" s="185"/>
      <c r="GK53" s="185"/>
      <c r="GL53" s="185"/>
      <c r="GM53" s="185"/>
    </row>
    <row r="54" spans="1:195" s="176" customFormat="1">
      <c r="A54" s="485"/>
      <c r="B54" s="184" t="s">
        <v>171</v>
      </c>
      <c r="C54" s="453">
        <v>3099928.5850323029</v>
      </c>
      <c r="D54"/>
      <c r="E54"/>
      <c r="F54"/>
      <c r="G54"/>
      <c r="H54"/>
      <c r="I54"/>
      <c r="J54"/>
      <c r="K54"/>
      <c r="L54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5"/>
      <c r="AS54" s="185"/>
      <c r="AT54" s="185"/>
      <c r="AU54" s="185"/>
      <c r="AV54" s="185"/>
      <c r="AW54" s="185"/>
      <c r="AX54" s="185"/>
      <c r="AY54" s="185"/>
      <c r="AZ54" s="185"/>
      <c r="BA54" s="185"/>
      <c r="BB54" s="185"/>
      <c r="BC54" s="185"/>
      <c r="BD54" s="185"/>
      <c r="BE54" s="185"/>
      <c r="BF54" s="185"/>
      <c r="BG54" s="185"/>
      <c r="BH54" s="185"/>
      <c r="BI54" s="185"/>
      <c r="BJ54" s="185"/>
      <c r="BK54" s="185"/>
      <c r="BL54" s="185"/>
      <c r="BM54" s="185"/>
      <c r="BN54" s="185"/>
      <c r="BO54" s="185"/>
      <c r="BP54" s="185"/>
      <c r="BQ54" s="185"/>
      <c r="BR54" s="185"/>
      <c r="BS54" s="185"/>
      <c r="BT54" s="185"/>
      <c r="BU54" s="185"/>
      <c r="BV54" s="185"/>
      <c r="BW54" s="185"/>
      <c r="BX54" s="185"/>
      <c r="BY54" s="185"/>
      <c r="BZ54" s="185"/>
      <c r="CA54" s="185"/>
      <c r="CB54" s="185"/>
      <c r="CC54" s="185"/>
      <c r="CD54" s="185"/>
      <c r="CE54" s="185"/>
      <c r="CF54" s="185"/>
      <c r="CG54" s="185"/>
      <c r="CH54" s="185"/>
      <c r="CI54" s="185"/>
      <c r="CJ54" s="185"/>
      <c r="CK54" s="185"/>
      <c r="CL54" s="185"/>
      <c r="CM54" s="185"/>
      <c r="CN54" s="185"/>
      <c r="CO54" s="185"/>
      <c r="CP54" s="185"/>
      <c r="CQ54" s="185"/>
      <c r="CR54" s="185"/>
      <c r="CS54" s="185"/>
      <c r="CT54" s="185"/>
      <c r="CU54" s="185"/>
      <c r="CV54" s="185"/>
      <c r="CW54" s="185"/>
      <c r="CX54" s="185"/>
      <c r="CY54" s="185"/>
      <c r="CZ54" s="185"/>
      <c r="DA54" s="185"/>
      <c r="DB54" s="185"/>
      <c r="DC54" s="185"/>
      <c r="DD54" s="185"/>
      <c r="DE54" s="185"/>
      <c r="DF54" s="185"/>
      <c r="DG54" s="185"/>
      <c r="DH54" s="185"/>
      <c r="DI54" s="185"/>
      <c r="DJ54" s="185"/>
      <c r="DK54" s="185"/>
      <c r="DL54" s="185"/>
      <c r="DM54" s="185"/>
      <c r="DN54" s="185"/>
      <c r="DO54" s="185"/>
      <c r="DP54" s="185"/>
      <c r="DQ54" s="185"/>
      <c r="DR54" s="185"/>
      <c r="DS54" s="185"/>
      <c r="DT54" s="185"/>
      <c r="DU54" s="185"/>
      <c r="DV54" s="185"/>
      <c r="DW54" s="185"/>
      <c r="DX54" s="185"/>
      <c r="DY54" s="185"/>
      <c r="DZ54" s="185"/>
      <c r="EA54" s="185"/>
      <c r="EB54" s="185"/>
      <c r="EC54" s="185"/>
      <c r="ED54" s="185"/>
      <c r="EE54" s="185"/>
      <c r="EF54" s="185"/>
      <c r="EG54" s="185"/>
      <c r="EH54" s="185"/>
      <c r="EI54" s="185"/>
      <c r="EJ54" s="185"/>
      <c r="EK54" s="185"/>
      <c r="EL54" s="185"/>
      <c r="EM54" s="185"/>
      <c r="EN54" s="185"/>
      <c r="EO54" s="185"/>
      <c r="EP54" s="185"/>
      <c r="EQ54" s="185"/>
      <c r="ER54" s="185"/>
      <c r="ES54" s="185"/>
      <c r="ET54" s="185"/>
      <c r="EU54" s="185"/>
      <c r="EV54" s="185"/>
      <c r="EW54" s="185"/>
      <c r="EX54" s="185"/>
      <c r="EY54" s="185"/>
      <c r="EZ54" s="185"/>
      <c r="FA54" s="185"/>
      <c r="FB54" s="185"/>
      <c r="FC54" s="185"/>
      <c r="FD54" s="185"/>
      <c r="FE54" s="185"/>
      <c r="FF54" s="185"/>
      <c r="FG54" s="185"/>
      <c r="FH54" s="185"/>
      <c r="FI54" s="185"/>
      <c r="FJ54" s="185"/>
      <c r="FK54" s="185"/>
      <c r="FL54" s="185"/>
      <c r="FM54" s="185"/>
      <c r="FN54" s="185"/>
      <c r="FO54" s="185"/>
      <c r="FP54" s="185"/>
      <c r="FQ54" s="185"/>
      <c r="FR54" s="185"/>
      <c r="FS54" s="185"/>
      <c r="FT54" s="185"/>
      <c r="FU54" s="185"/>
      <c r="FV54" s="185"/>
      <c r="FW54" s="185"/>
      <c r="FX54" s="185"/>
      <c r="FY54" s="185"/>
      <c r="FZ54" s="185"/>
      <c r="GA54" s="185"/>
      <c r="GB54" s="185"/>
      <c r="GC54" s="185"/>
      <c r="GD54" s="185"/>
      <c r="GE54" s="185"/>
      <c r="GF54" s="185"/>
      <c r="GG54" s="185"/>
      <c r="GH54" s="185"/>
      <c r="GI54" s="185"/>
      <c r="GJ54" s="185"/>
      <c r="GK54" s="185"/>
      <c r="GL54" s="185"/>
      <c r="GM54" s="185"/>
    </row>
    <row r="55" spans="1:195" s="160" customFormat="1" ht="12.75" customHeight="1">
      <c r="A55" s="179" t="s">
        <v>14</v>
      </c>
      <c r="B55" s="180" t="s">
        <v>174</v>
      </c>
      <c r="C55" s="454">
        <v>-1906.7939083436504</v>
      </c>
      <c r="D55" s="186"/>
      <c r="E55"/>
      <c r="F55"/>
      <c r="G55"/>
      <c r="H55"/>
      <c r="I55"/>
      <c r="J55"/>
      <c r="K55"/>
      <c r="L5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5"/>
      <c r="AS55" s="185"/>
      <c r="AT55" s="185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5"/>
      <c r="BJ55" s="185"/>
      <c r="BK55" s="185"/>
      <c r="BL55" s="185"/>
      <c r="BM55" s="185"/>
      <c r="BN55" s="185"/>
      <c r="BO55" s="185"/>
      <c r="BP55" s="185"/>
      <c r="BQ55" s="185"/>
      <c r="BR55" s="185"/>
      <c r="BS55" s="185"/>
      <c r="BT55" s="185"/>
      <c r="BU55" s="185"/>
      <c r="BV55" s="185"/>
      <c r="BW55" s="185"/>
      <c r="BX55" s="185"/>
      <c r="BY55" s="185"/>
      <c r="BZ55" s="185"/>
      <c r="CA55" s="185"/>
      <c r="CB55" s="185"/>
      <c r="CC55" s="185"/>
      <c r="CD55" s="185"/>
      <c r="CE55" s="185"/>
      <c r="CF55" s="185"/>
      <c r="CG55" s="185"/>
      <c r="CH55" s="185"/>
      <c r="CI55" s="185"/>
      <c r="CJ55" s="185"/>
      <c r="CK55" s="185"/>
      <c r="CL55" s="185"/>
      <c r="CM55" s="185"/>
      <c r="CN55" s="185"/>
      <c r="CO55" s="185"/>
      <c r="CP55" s="185"/>
      <c r="CQ55" s="185"/>
      <c r="CR55" s="185"/>
      <c r="CS55" s="185"/>
      <c r="CT55" s="185"/>
      <c r="CU55" s="185"/>
      <c r="CV55" s="185"/>
      <c r="CW55" s="185"/>
      <c r="CX55" s="185"/>
      <c r="CY55" s="185"/>
      <c r="CZ55" s="185"/>
      <c r="DA55" s="185"/>
      <c r="DB55" s="185"/>
      <c r="DC55" s="185"/>
      <c r="DD55" s="185"/>
      <c r="DE55" s="185"/>
      <c r="DF55" s="185"/>
      <c r="DG55" s="185"/>
      <c r="DH55" s="185"/>
      <c r="DI55" s="185"/>
      <c r="DJ55" s="185"/>
      <c r="DK55" s="185"/>
      <c r="DL55" s="185"/>
      <c r="DM55" s="185"/>
      <c r="DN55" s="185"/>
      <c r="DO55" s="185"/>
      <c r="DP55" s="185"/>
      <c r="DQ55" s="185"/>
      <c r="DR55" s="185"/>
      <c r="DS55" s="185"/>
      <c r="DT55" s="185"/>
      <c r="DU55" s="185"/>
      <c r="DV55" s="185"/>
      <c r="DW55" s="185"/>
      <c r="DX55" s="185"/>
      <c r="DY55" s="185"/>
      <c r="DZ55" s="185"/>
      <c r="EA55" s="185"/>
      <c r="EB55" s="185"/>
      <c r="EC55" s="185"/>
      <c r="ED55" s="185"/>
      <c r="EE55" s="185"/>
      <c r="EF55" s="185"/>
      <c r="EG55" s="185"/>
      <c r="EH55" s="185"/>
      <c r="EI55" s="185"/>
      <c r="EJ55" s="185"/>
      <c r="EK55" s="185"/>
      <c r="EL55" s="185"/>
      <c r="EM55" s="185"/>
      <c r="EN55" s="185"/>
      <c r="EO55" s="185"/>
      <c r="EP55" s="185"/>
      <c r="EQ55" s="185"/>
      <c r="ER55" s="185"/>
      <c r="ES55" s="185"/>
      <c r="ET55" s="185"/>
      <c r="EU55" s="185"/>
      <c r="EV55" s="185"/>
      <c r="EW55" s="185"/>
      <c r="EX55" s="185"/>
      <c r="EY55" s="185"/>
      <c r="EZ55" s="185"/>
      <c r="FA55" s="185"/>
      <c r="FB55" s="185"/>
      <c r="FC55" s="185"/>
      <c r="FD55" s="185"/>
      <c r="FE55" s="185"/>
      <c r="FF55" s="185"/>
      <c r="FG55" s="185"/>
      <c r="FH55" s="185"/>
      <c r="FI55" s="185"/>
      <c r="FJ55" s="185"/>
      <c r="FK55" s="185"/>
      <c r="FL55" s="185"/>
      <c r="FM55" s="185"/>
      <c r="FN55" s="185"/>
      <c r="FO55" s="185"/>
      <c r="FP55" s="185"/>
      <c r="FQ55" s="185"/>
      <c r="FR55" s="185"/>
      <c r="FS55" s="185"/>
      <c r="FT55" s="185"/>
      <c r="FU55" s="185"/>
      <c r="FV55" s="185"/>
      <c r="FW55" s="185"/>
      <c r="FX55" s="185"/>
      <c r="FY55" s="185"/>
      <c r="FZ55" s="185"/>
      <c r="GA55" s="185"/>
      <c r="GB55" s="185"/>
      <c r="GC55" s="185"/>
      <c r="GD55" s="185"/>
      <c r="GE55" s="185"/>
      <c r="GF55" s="185"/>
      <c r="GG55" s="185"/>
      <c r="GH55" s="185"/>
      <c r="GI55" s="185"/>
      <c r="GJ55" s="185"/>
      <c r="GK55" s="185"/>
      <c r="GL55" s="185"/>
      <c r="GM55" s="185"/>
    </row>
    <row r="56" spans="1:195" ht="12.75" customHeight="1">
      <c r="A56" s="386"/>
      <c r="B56" s="85"/>
      <c r="C56" s="86"/>
      <c r="D56" s="8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  <c r="AO56" s="156"/>
      <c r="AP56" s="156"/>
      <c r="AQ56" s="156"/>
      <c r="AR56" s="156"/>
      <c r="AS56" s="156"/>
      <c r="AT56" s="156"/>
      <c r="AU56" s="156"/>
      <c r="AV56" s="156"/>
      <c r="AW56" s="156"/>
      <c r="AX56" s="156"/>
      <c r="AY56" s="156"/>
      <c r="AZ56" s="156"/>
      <c r="BA56" s="156"/>
      <c r="BB56" s="156"/>
      <c r="BC56" s="156"/>
      <c r="BD56" s="156"/>
      <c r="BE56" s="156"/>
      <c r="BF56" s="156"/>
      <c r="BG56" s="156"/>
      <c r="BH56" s="156"/>
      <c r="BI56" s="156"/>
      <c r="BJ56" s="156"/>
      <c r="BK56" s="156"/>
      <c r="BL56" s="156"/>
      <c r="BM56" s="156"/>
      <c r="BN56" s="156"/>
      <c r="BO56" s="156"/>
      <c r="BP56" s="156"/>
      <c r="BQ56" s="156"/>
      <c r="BR56" s="156"/>
      <c r="BS56" s="156"/>
      <c r="BT56" s="156"/>
      <c r="BU56" s="156"/>
      <c r="BV56" s="156"/>
      <c r="BW56" s="156"/>
      <c r="BX56" s="156"/>
      <c r="BY56" s="156"/>
      <c r="BZ56" s="156"/>
      <c r="CA56" s="156"/>
      <c r="CB56" s="156"/>
      <c r="CC56" s="156"/>
      <c r="CD56" s="156"/>
      <c r="CE56" s="156"/>
      <c r="CF56" s="156"/>
      <c r="CG56" s="156"/>
      <c r="CH56" s="156"/>
      <c r="CI56" s="156"/>
      <c r="CJ56" s="156"/>
      <c r="CK56" s="156"/>
      <c r="CL56" s="156"/>
      <c r="CM56" s="156"/>
      <c r="CN56" s="156"/>
      <c r="CO56" s="156"/>
      <c r="CP56" s="156"/>
      <c r="CQ56" s="156"/>
      <c r="CR56" s="156"/>
      <c r="CS56" s="156"/>
      <c r="CT56" s="156"/>
      <c r="CU56" s="156"/>
      <c r="CV56" s="156"/>
      <c r="CW56" s="156"/>
      <c r="CX56" s="156"/>
      <c r="CY56" s="156"/>
      <c r="CZ56" s="156"/>
      <c r="DA56" s="156"/>
      <c r="DB56" s="156"/>
      <c r="DC56" s="156"/>
      <c r="DD56" s="156"/>
      <c r="DE56" s="156"/>
      <c r="DF56" s="156"/>
      <c r="DG56" s="156"/>
      <c r="DH56" s="156"/>
      <c r="DI56" s="156"/>
      <c r="DJ56" s="156"/>
      <c r="DK56" s="156"/>
      <c r="DL56" s="156"/>
      <c r="DM56" s="156"/>
      <c r="DN56" s="156"/>
      <c r="DO56" s="156"/>
      <c r="DP56" s="156"/>
      <c r="DQ56" s="156"/>
      <c r="DR56" s="156"/>
      <c r="DS56" s="156"/>
      <c r="DT56" s="156"/>
      <c r="DU56" s="156"/>
      <c r="DV56" s="156"/>
      <c r="DW56" s="156"/>
      <c r="DX56" s="156"/>
      <c r="DY56" s="156"/>
      <c r="DZ56" s="156"/>
      <c r="EA56" s="156"/>
      <c r="EB56" s="156"/>
      <c r="EC56" s="156"/>
      <c r="ED56" s="156"/>
      <c r="EE56" s="156"/>
      <c r="EF56" s="156"/>
      <c r="EG56" s="156"/>
      <c r="EH56" s="156"/>
      <c r="EI56" s="156"/>
      <c r="EJ56" s="156"/>
      <c r="EK56" s="156"/>
      <c r="EL56" s="156"/>
      <c r="EM56" s="156"/>
      <c r="EN56" s="156"/>
      <c r="EO56" s="156"/>
      <c r="EP56" s="156"/>
      <c r="EQ56" s="156"/>
      <c r="ER56" s="156"/>
      <c r="ES56" s="156"/>
      <c r="ET56" s="156"/>
      <c r="EU56" s="156"/>
      <c r="EV56" s="156"/>
      <c r="EW56" s="156"/>
      <c r="EX56" s="156"/>
      <c r="EY56" s="156"/>
      <c r="EZ56" s="156"/>
      <c r="FA56" s="156"/>
      <c r="FB56" s="156"/>
      <c r="FC56" s="156"/>
      <c r="FD56" s="156"/>
      <c r="FE56" s="156"/>
      <c r="FF56" s="156"/>
      <c r="FG56" s="156"/>
      <c r="FH56" s="156"/>
      <c r="FI56" s="156"/>
      <c r="FJ56" s="156"/>
      <c r="FK56" s="156"/>
      <c r="FL56" s="156"/>
      <c r="FM56" s="156"/>
      <c r="FN56" s="156"/>
      <c r="FO56" s="156"/>
      <c r="FP56" s="156"/>
      <c r="FQ56" s="156"/>
      <c r="FR56" s="156"/>
      <c r="FS56" s="156"/>
      <c r="FT56" s="156"/>
      <c r="FU56" s="156"/>
      <c r="FV56" s="156"/>
      <c r="FW56" s="156"/>
      <c r="FX56" s="156"/>
      <c r="FY56" s="156"/>
      <c r="FZ56" s="156"/>
      <c r="GA56" s="156"/>
      <c r="GB56" s="156"/>
      <c r="GC56" s="156"/>
      <c r="GD56" s="156"/>
      <c r="GE56" s="156"/>
      <c r="GF56" s="156"/>
      <c r="GG56" s="156"/>
      <c r="GH56" s="156"/>
      <c r="GI56" s="156"/>
      <c r="GJ56" s="156"/>
      <c r="GK56" s="156"/>
      <c r="GL56" s="156"/>
      <c r="GM56" s="156"/>
    </row>
    <row r="58" spans="1:195">
      <c r="C58" s="20"/>
    </row>
  </sheetData>
  <sheetProtection sheet="1" objects="1" scenarios="1"/>
  <mergeCells count="4">
    <mergeCell ref="E2:F2"/>
    <mergeCell ref="A46:B46"/>
    <mergeCell ref="A47:A49"/>
    <mergeCell ref="A50:A54"/>
  </mergeCells>
  <conditionalFormatting sqref="C55">
    <cfRule type="cellIs" dxfId="1" priority="3" operator="lessThan">
      <formula>0</formula>
    </cfRule>
    <cfRule type="cellIs" dxfId="0" priority="4" operator="greaterThan">
      <formula>0</formula>
    </cfRule>
  </conditionalFormatting>
  <pageMargins left="0.7" right="0.7" top="0.75" bottom="0.75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filterMode="1"/>
  <dimension ref="A3:K60"/>
  <sheetViews>
    <sheetView zoomScale="90" zoomScaleNormal="90" workbookViewId="0">
      <selection activeCell="C78" sqref="C78"/>
    </sheetView>
  </sheetViews>
  <sheetFormatPr defaultColWidth="11.42578125" defaultRowHeight="12.75"/>
  <cols>
    <col min="1" max="1" width="48.42578125" customWidth="1"/>
    <col min="2" max="2" width="22.140625" customWidth="1"/>
    <col min="3" max="4" width="20.42578125" customWidth="1"/>
    <col min="5" max="9" width="21.42578125" customWidth="1"/>
  </cols>
  <sheetData>
    <row r="3" spans="1:11">
      <c r="A3" t="s">
        <v>271</v>
      </c>
    </row>
    <row r="5" spans="1:11" s="272" customFormat="1">
      <c r="A5" s="272" t="s">
        <v>272</v>
      </c>
      <c r="B5" s="272" t="s">
        <v>278</v>
      </c>
      <c r="C5" s="272" t="s">
        <v>277</v>
      </c>
      <c r="D5" s="272" t="s">
        <v>311</v>
      </c>
      <c r="E5" s="272" t="s">
        <v>273</v>
      </c>
      <c r="F5" s="272" t="s">
        <v>274</v>
      </c>
      <c r="G5" s="272" t="s">
        <v>363</v>
      </c>
      <c r="H5" s="272" t="s">
        <v>275</v>
      </c>
      <c r="I5" s="272" t="s">
        <v>275</v>
      </c>
    </row>
    <row r="6" spans="1:11" s="160" customFormat="1" hidden="1">
      <c r="A6" s="257" t="s">
        <v>282</v>
      </c>
      <c r="B6" s="257" t="s">
        <v>4</v>
      </c>
      <c r="C6" s="257" t="s">
        <v>276</v>
      </c>
      <c r="D6" s="278">
        <f>E6*12</f>
        <v>4386.72</v>
      </c>
      <c r="E6" s="245">
        <f>F6*G6</f>
        <v>365.56</v>
      </c>
      <c r="F6" s="246">
        <v>52</v>
      </c>
      <c r="G6" s="247">
        <v>7.03</v>
      </c>
      <c r="H6" s="248"/>
    </row>
    <row r="7" spans="1:11" s="160" customFormat="1" hidden="1">
      <c r="A7" s="257" t="s">
        <v>283</v>
      </c>
      <c r="B7" s="257" t="s">
        <v>4</v>
      </c>
      <c r="C7" s="257" t="s">
        <v>276</v>
      </c>
      <c r="D7" s="278">
        <f t="shared" ref="D7" si="0">E7*12</f>
        <v>2088.2399999999998</v>
      </c>
      <c r="E7" s="245">
        <f>F7*H7</f>
        <v>174.01999999999998</v>
      </c>
      <c r="F7" s="246">
        <v>7</v>
      </c>
      <c r="G7" s="247"/>
      <c r="H7" s="248">
        <v>24.86</v>
      </c>
    </row>
    <row r="8" spans="1:11" s="160" customFormat="1" hidden="1">
      <c r="A8" s="133" t="s">
        <v>312</v>
      </c>
      <c r="B8" s="260" t="s">
        <v>0</v>
      </c>
      <c r="C8" s="257" t="s">
        <v>297</v>
      </c>
      <c r="D8" s="256">
        <v>0</v>
      </c>
      <c r="E8" s="256">
        <f>D8/12</f>
        <v>0</v>
      </c>
      <c r="F8"/>
      <c r="G8"/>
      <c r="H8"/>
      <c r="I8"/>
      <c r="J8"/>
      <c r="K8"/>
    </row>
    <row r="9" spans="1:11" s="160" customFormat="1" hidden="1">
      <c r="A9" s="257" t="s">
        <v>284</v>
      </c>
      <c r="B9" s="258" t="s">
        <v>1</v>
      </c>
      <c r="C9" s="257" t="s">
        <v>276</v>
      </c>
      <c r="D9" s="278">
        <f>E9*12</f>
        <v>4386.72</v>
      </c>
      <c r="E9" s="245">
        <f>F9*G9</f>
        <v>365.56</v>
      </c>
      <c r="F9" s="246">
        <v>52</v>
      </c>
      <c r="G9" s="247">
        <v>7.03</v>
      </c>
      <c r="H9" s="248"/>
    </row>
    <row r="10" spans="1:11" s="160" customFormat="1" hidden="1">
      <c r="A10" s="257" t="s">
        <v>285</v>
      </c>
      <c r="B10" s="258" t="s">
        <v>1</v>
      </c>
      <c r="C10" s="257" t="s">
        <v>276</v>
      </c>
      <c r="D10" s="278">
        <f>E10*12</f>
        <v>2088.2399999999998</v>
      </c>
      <c r="E10" s="245">
        <f>F10*H10</f>
        <v>174.01999999999998</v>
      </c>
      <c r="F10" s="246">
        <v>7</v>
      </c>
      <c r="G10" s="247"/>
      <c r="H10" s="248">
        <v>24.86</v>
      </c>
    </row>
    <row r="11" spans="1:11" s="160" customFormat="1" hidden="1">
      <c r="A11" s="257" t="s">
        <v>286</v>
      </c>
      <c r="B11" s="257" t="s">
        <v>12</v>
      </c>
      <c r="C11" s="257" t="s">
        <v>276</v>
      </c>
      <c r="D11" s="278">
        <f>E11*12</f>
        <v>665.6640000000001</v>
      </c>
      <c r="E11" s="245">
        <f>F11*I11</f>
        <v>55.472000000000008</v>
      </c>
      <c r="F11" s="246">
        <v>34.67</v>
      </c>
      <c r="G11" s="247"/>
      <c r="H11" s="249"/>
      <c r="I11" s="249">
        <v>1.6</v>
      </c>
    </row>
    <row r="12" spans="1:11" s="160" customFormat="1" hidden="1">
      <c r="A12" s="318" t="s">
        <v>353</v>
      </c>
      <c r="B12" s="318" t="s">
        <v>12</v>
      </c>
      <c r="C12" s="318" t="s">
        <v>276</v>
      </c>
      <c r="D12" s="319"/>
      <c r="E12" s="320"/>
      <c r="F12" s="321"/>
      <c r="G12" s="322">
        <v>7.26</v>
      </c>
      <c r="H12" s="249"/>
      <c r="I12" s="249"/>
    </row>
    <row r="13" spans="1:11" s="160" customFormat="1" hidden="1">
      <c r="A13" s="277" t="s">
        <v>304</v>
      </c>
      <c r="B13" s="261" t="s">
        <v>1</v>
      </c>
      <c r="C13" s="257" t="s">
        <v>297</v>
      </c>
      <c r="D13" s="278">
        <f t="shared" ref="D13:D18" si="1">E13*12</f>
        <v>3380.5200000000004</v>
      </c>
      <c r="E13" s="244">
        <f>F13*G13</f>
        <v>281.71000000000004</v>
      </c>
      <c r="F13" s="72">
        <v>21.67</v>
      </c>
      <c r="G13" s="265">
        <v>13</v>
      </c>
      <c r="H13"/>
      <c r="I13"/>
      <c r="J13"/>
      <c r="K13"/>
    </row>
    <row r="14" spans="1:11" s="160" customFormat="1" hidden="1">
      <c r="A14" s="277" t="s">
        <v>305</v>
      </c>
      <c r="B14" s="277" t="s">
        <v>1</v>
      </c>
      <c r="C14" s="264" t="s">
        <v>297</v>
      </c>
      <c r="D14" s="308">
        <f t="shared" si="1"/>
        <v>5408.52</v>
      </c>
      <c r="E14" s="256">
        <f>F14*G14</f>
        <v>450.71000000000004</v>
      </c>
      <c r="F14" s="133">
        <v>34.67</v>
      </c>
      <c r="G14" s="309">
        <v>13</v>
      </c>
      <c r="H14"/>
      <c r="I14"/>
      <c r="J14"/>
      <c r="K14"/>
    </row>
    <row r="15" spans="1:11" s="160" customFormat="1" hidden="1">
      <c r="A15" s="257" t="s">
        <v>287</v>
      </c>
      <c r="B15" s="257" t="s">
        <v>108</v>
      </c>
      <c r="C15" s="257" t="s">
        <v>276</v>
      </c>
      <c r="D15" s="278">
        <f t="shared" si="1"/>
        <v>365.27880000000005</v>
      </c>
      <c r="E15" s="245">
        <f>F15*G15</f>
        <v>30.439900000000002</v>
      </c>
      <c r="F15" s="246">
        <v>4.33</v>
      </c>
      <c r="G15" s="247">
        <v>7.03</v>
      </c>
      <c r="H15" s="248"/>
    </row>
    <row r="16" spans="1:11" s="160" customFormat="1" hidden="1">
      <c r="A16" s="257" t="s">
        <v>291</v>
      </c>
      <c r="B16" s="257" t="s">
        <v>108</v>
      </c>
      <c r="C16" s="257" t="s">
        <v>276</v>
      </c>
      <c r="D16" s="278">
        <f t="shared" si="1"/>
        <v>298.32</v>
      </c>
      <c r="E16" s="245">
        <f>F16*H16</f>
        <v>24.86</v>
      </c>
      <c r="F16" s="266">
        <v>1</v>
      </c>
      <c r="G16" s="247"/>
      <c r="H16" s="248">
        <v>24.86</v>
      </c>
    </row>
    <row r="17" spans="1:11" s="160" customFormat="1" hidden="1">
      <c r="A17" s="257" t="s">
        <v>293</v>
      </c>
      <c r="B17" s="257" t="s">
        <v>2</v>
      </c>
      <c r="C17" s="257" t="s">
        <v>276</v>
      </c>
      <c r="D17" s="278">
        <f t="shared" si="1"/>
        <v>1279.7411999999999</v>
      </c>
      <c r="E17" s="245">
        <f>F17*G17</f>
        <v>106.6451</v>
      </c>
      <c r="F17" s="266">
        <v>15.17</v>
      </c>
      <c r="G17" s="247">
        <v>7.03</v>
      </c>
      <c r="H17" s="248"/>
    </row>
    <row r="18" spans="1:11" s="160" customFormat="1" hidden="1">
      <c r="A18" s="257" t="s">
        <v>292</v>
      </c>
      <c r="B18" s="257" t="s">
        <v>2</v>
      </c>
      <c r="C18" s="257" t="s">
        <v>276</v>
      </c>
      <c r="D18" s="278">
        <f t="shared" si="1"/>
        <v>894.96</v>
      </c>
      <c r="E18" s="245">
        <f>F18*H18</f>
        <v>74.58</v>
      </c>
      <c r="F18" s="266">
        <v>3</v>
      </c>
      <c r="G18" s="247"/>
      <c r="H18" s="248">
        <v>24.86</v>
      </c>
    </row>
    <row r="19" spans="1:11" s="160" customFormat="1" hidden="1">
      <c r="A19" s="197" t="s">
        <v>312</v>
      </c>
      <c r="B19" s="310" t="s">
        <v>1</v>
      </c>
      <c r="C19" s="263" t="s">
        <v>297</v>
      </c>
      <c r="D19" s="302">
        <v>7300</v>
      </c>
      <c r="E19" s="302">
        <f>D19/12</f>
        <v>608.33333333333337</v>
      </c>
      <c r="F19" s="197"/>
      <c r="G19" s="197"/>
      <c r="H19" t="s">
        <v>364</v>
      </c>
      <c r="I19"/>
      <c r="J19"/>
      <c r="K19"/>
    </row>
    <row r="20" spans="1:11" s="160" customFormat="1" hidden="1">
      <c r="A20" s="264" t="s">
        <v>295</v>
      </c>
      <c r="B20" s="264" t="s">
        <v>9</v>
      </c>
      <c r="C20" s="264" t="s">
        <v>276</v>
      </c>
      <c r="D20" s="278">
        <f>E20*12</f>
        <v>731.40120000000002</v>
      </c>
      <c r="E20" s="270">
        <f>F20*G20</f>
        <v>60.950099999999999</v>
      </c>
      <c r="F20" s="271">
        <v>8.67</v>
      </c>
      <c r="G20" s="254">
        <v>7.03</v>
      </c>
      <c r="H20" s="248"/>
      <c r="I20" s="249"/>
    </row>
    <row r="21" spans="1:11" s="160" customFormat="1" hidden="1">
      <c r="A21" s="133" t="s">
        <v>312</v>
      </c>
      <c r="B21" s="262" t="s">
        <v>2</v>
      </c>
      <c r="C21" s="257" t="s">
        <v>297</v>
      </c>
      <c r="D21" s="256">
        <v>600</v>
      </c>
      <c r="E21" s="256">
        <f>D21/12</f>
        <v>50</v>
      </c>
      <c r="F21"/>
      <c r="G21"/>
      <c r="H21" t="s">
        <v>365</v>
      </c>
      <c r="I21"/>
      <c r="J21"/>
      <c r="K21"/>
    </row>
    <row r="22" spans="1:11" s="160" customFormat="1" hidden="1">
      <c r="A22" s="277" t="s">
        <v>308</v>
      </c>
      <c r="B22" s="261" t="s">
        <v>12</v>
      </c>
      <c r="C22" s="257" t="s">
        <v>297</v>
      </c>
      <c r="D22" s="278">
        <v>819</v>
      </c>
      <c r="E22" s="244"/>
      <c r="F22" s="72">
        <f>23+23+17</f>
        <v>63</v>
      </c>
      <c r="G22" s="265">
        <v>13</v>
      </c>
      <c r="H22"/>
      <c r="I22"/>
      <c r="J22"/>
      <c r="K22"/>
    </row>
    <row r="23" spans="1:11" s="160" customFormat="1" hidden="1">
      <c r="A23" s="269" t="s">
        <v>296</v>
      </c>
      <c r="B23" s="267" t="s">
        <v>9</v>
      </c>
      <c r="C23" s="264" t="s">
        <v>276</v>
      </c>
      <c r="D23" s="278">
        <f>E23*12</f>
        <v>10831.2</v>
      </c>
      <c r="E23" s="256">
        <f>G23*F23</f>
        <v>902.6</v>
      </c>
      <c r="F23" s="134">
        <v>10</v>
      </c>
      <c r="G23" s="268">
        <v>90.26</v>
      </c>
    </row>
    <row r="24" spans="1:11" s="160" customFormat="1" ht="25.5" hidden="1">
      <c r="A24" s="273" t="s">
        <v>299</v>
      </c>
      <c r="B24" s="160" t="s">
        <v>9</v>
      </c>
      <c r="C24" s="263" t="s">
        <v>276</v>
      </c>
      <c r="D24" s="278">
        <f>E24*12</f>
        <v>10431.684000000001</v>
      </c>
      <c r="E24" s="251">
        <f>F24*G24</f>
        <v>869.30700000000002</v>
      </c>
      <c r="F24" s="252">
        <v>15.1</v>
      </c>
      <c r="G24" s="249">
        <v>57.57</v>
      </c>
      <c r="K24" s="160">
        <f>770.5*12</f>
        <v>9246</v>
      </c>
    </row>
    <row r="25" spans="1:11" ht="25.5" hidden="1">
      <c r="A25" s="273" t="s">
        <v>300</v>
      </c>
      <c r="B25" s="259" t="s">
        <v>1</v>
      </c>
      <c r="C25" s="257" t="s">
        <v>276</v>
      </c>
      <c r="D25" s="278">
        <f>E25*12</f>
        <v>41913.262800000004</v>
      </c>
      <c r="E25" s="253">
        <f>F25*G25</f>
        <v>3492.7719000000002</v>
      </c>
      <c r="F25" s="250">
        <v>60.67</v>
      </c>
      <c r="G25" s="254">
        <v>57.57</v>
      </c>
    </row>
    <row r="26" spans="1:11" hidden="1">
      <c r="A26" s="133" t="s">
        <v>312</v>
      </c>
      <c r="B26" s="260" t="s">
        <v>12</v>
      </c>
      <c r="C26" s="257" t="s">
        <v>297</v>
      </c>
      <c r="D26" s="256">
        <v>700</v>
      </c>
      <c r="E26" s="256">
        <f>D26/12</f>
        <v>58.333333333333336</v>
      </c>
    </row>
    <row r="27" spans="1:11" hidden="1">
      <c r="A27" s="133" t="s">
        <v>316</v>
      </c>
      <c r="B27" s="260" t="s">
        <v>12</v>
      </c>
      <c r="C27" s="257" t="s">
        <v>297</v>
      </c>
      <c r="D27" s="256">
        <v>3000</v>
      </c>
      <c r="E27" s="256">
        <f>D27/12</f>
        <v>250</v>
      </c>
    </row>
    <row r="28" spans="1:11" hidden="1">
      <c r="A28" s="260" t="s">
        <v>303</v>
      </c>
      <c r="B28" s="260" t="s">
        <v>9</v>
      </c>
      <c r="C28" s="257" t="s">
        <v>276</v>
      </c>
      <c r="D28" s="278">
        <f>E28*12</f>
        <v>2678.5200000000004</v>
      </c>
      <c r="E28" s="244">
        <f>F28*G28</f>
        <v>223.21000000000004</v>
      </c>
      <c r="F28" s="255">
        <v>17.170000000000002</v>
      </c>
      <c r="G28" s="265">
        <v>13</v>
      </c>
      <c r="H28" s="276"/>
    </row>
    <row r="29" spans="1:11" hidden="1">
      <c r="A29" s="133" t="s">
        <v>316</v>
      </c>
      <c r="B29" s="260" t="s">
        <v>107</v>
      </c>
      <c r="C29" s="257" t="s">
        <v>297</v>
      </c>
      <c r="D29" s="256">
        <v>13000</v>
      </c>
      <c r="E29" s="256">
        <f>D29/12</f>
        <v>1083.3333333333333</v>
      </c>
    </row>
    <row r="30" spans="1:11" hidden="1">
      <c r="A30" s="257" t="s">
        <v>288</v>
      </c>
      <c r="B30" s="257" t="s">
        <v>4</v>
      </c>
      <c r="C30" s="257" t="s">
        <v>297</v>
      </c>
      <c r="D30" s="278">
        <f>E30*12</f>
        <v>183.06120000000001</v>
      </c>
      <c r="E30" s="245">
        <f>F30*G30</f>
        <v>15.255100000000001</v>
      </c>
      <c r="F30" s="246">
        <v>2.17</v>
      </c>
      <c r="G30" s="247">
        <v>7.03</v>
      </c>
      <c r="H30" s="248"/>
      <c r="I30" s="160"/>
      <c r="J30" s="160"/>
      <c r="K30" s="160"/>
    </row>
    <row r="31" spans="1:11" hidden="1">
      <c r="A31" s="257" t="s">
        <v>307</v>
      </c>
      <c r="B31" s="261" t="s">
        <v>4</v>
      </c>
      <c r="C31" s="257" t="s">
        <v>297</v>
      </c>
      <c r="D31" s="278">
        <f>E31*12</f>
        <v>338.52</v>
      </c>
      <c r="E31" s="244">
        <f>F31*G31</f>
        <v>28.21</v>
      </c>
      <c r="F31" s="72">
        <v>2.17</v>
      </c>
      <c r="G31" s="265">
        <v>13</v>
      </c>
    </row>
    <row r="32" spans="1:11" hidden="1">
      <c r="A32" s="133" t="s">
        <v>316</v>
      </c>
      <c r="B32" s="260" t="s">
        <v>4</v>
      </c>
      <c r="C32" s="257" t="s">
        <v>297</v>
      </c>
      <c r="D32" s="256">
        <v>2000</v>
      </c>
      <c r="E32" s="256">
        <f>D32/12</f>
        <v>166.66666666666666</v>
      </c>
    </row>
    <row r="33" spans="1:11" hidden="1">
      <c r="A33" s="275" t="s">
        <v>309</v>
      </c>
      <c r="B33" s="260" t="s">
        <v>5</v>
      </c>
      <c r="C33" s="257" t="s">
        <v>297</v>
      </c>
      <c r="D33" s="278">
        <v>0</v>
      </c>
      <c r="E33" s="244"/>
      <c r="F33" s="255">
        <v>100</v>
      </c>
      <c r="G33" s="265">
        <v>13</v>
      </c>
      <c r="H33" t="s">
        <v>346</v>
      </c>
    </row>
    <row r="34" spans="1:11" hidden="1">
      <c r="A34" s="133" t="s">
        <v>312</v>
      </c>
      <c r="B34" s="275" t="s">
        <v>5</v>
      </c>
      <c r="C34" s="264" t="s">
        <v>297</v>
      </c>
      <c r="D34" s="256">
        <f>1776.65*2</f>
        <v>3553.3</v>
      </c>
      <c r="E34" s="256">
        <f t="shared" ref="E34:E41" si="2">D34/12</f>
        <v>296.10833333333335</v>
      </c>
      <c r="F34" s="197"/>
      <c r="G34" s="197"/>
    </row>
    <row r="35" spans="1:11" hidden="1">
      <c r="A35" t="s">
        <v>279</v>
      </c>
      <c r="B35" s="260" t="s">
        <v>9</v>
      </c>
      <c r="C35" s="257" t="s">
        <v>276</v>
      </c>
      <c r="D35" s="256">
        <v>3454.36</v>
      </c>
      <c r="E35" s="256">
        <f t="shared" si="2"/>
        <v>287.86333333333334</v>
      </c>
      <c r="F35">
        <f>26*3.5*52</f>
        <v>4732</v>
      </c>
      <c r="G35" s="265">
        <v>0.73</v>
      </c>
      <c r="H35" s="205"/>
    </row>
    <row r="36" spans="1:11" hidden="1">
      <c r="A36" t="s">
        <v>279</v>
      </c>
      <c r="B36" s="260" t="s">
        <v>0</v>
      </c>
      <c r="C36" s="257" t="s">
        <v>276</v>
      </c>
      <c r="D36" s="256">
        <v>832</v>
      </c>
      <c r="E36" s="256">
        <f t="shared" si="2"/>
        <v>69.333333333333329</v>
      </c>
      <c r="F36">
        <f>5*2*52</f>
        <v>520</v>
      </c>
      <c r="G36" s="265">
        <v>1.6</v>
      </c>
      <c r="H36" s="205"/>
    </row>
    <row r="37" spans="1:11" hidden="1">
      <c r="A37" t="s">
        <v>279</v>
      </c>
      <c r="B37" s="260" t="s">
        <v>107</v>
      </c>
      <c r="C37" s="257" t="s">
        <v>276</v>
      </c>
      <c r="D37" s="256">
        <v>6377.28</v>
      </c>
      <c r="E37" s="256">
        <f t="shared" si="2"/>
        <v>531.43999999999994</v>
      </c>
      <c r="F37">
        <f>48*3.5*52</f>
        <v>8736</v>
      </c>
      <c r="G37" s="265">
        <v>0.73</v>
      </c>
      <c r="H37" s="205"/>
    </row>
    <row r="38" spans="1:11" hidden="1">
      <c r="A38" t="s">
        <v>279</v>
      </c>
      <c r="B38" s="260" t="s">
        <v>5</v>
      </c>
      <c r="C38" s="257" t="s">
        <v>276</v>
      </c>
      <c r="D38" s="256">
        <v>3188.64</v>
      </c>
      <c r="E38" s="256">
        <f t="shared" si="2"/>
        <v>265.71999999999997</v>
      </c>
      <c r="F38">
        <f>24*3.5*52</f>
        <v>4368</v>
      </c>
      <c r="G38" s="265">
        <v>0.73</v>
      </c>
      <c r="H38" s="205"/>
    </row>
    <row r="39" spans="1:11" hidden="1">
      <c r="A39" t="s">
        <v>280</v>
      </c>
      <c r="B39" s="260" t="s">
        <v>11</v>
      </c>
      <c r="C39" s="257" t="s">
        <v>276</v>
      </c>
      <c r="D39" s="256">
        <v>1461.46</v>
      </c>
      <c r="E39" s="256">
        <f t="shared" si="2"/>
        <v>121.78833333333334</v>
      </c>
      <c r="F39">
        <f>11*3.5*52</f>
        <v>2002</v>
      </c>
      <c r="G39" s="265">
        <v>0.73</v>
      </c>
      <c r="H39" s="205"/>
    </row>
    <row r="40" spans="1:11" hidden="1">
      <c r="A40" t="s">
        <v>281</v>
      </c>
      <c r="B40" s="260" t="s">
        <v>11</v>
      </c>
      <c r="C40" s="257" t="s">
        <v>276</v>
      </c>
      <c r="D40" s="256">
        <v>332.8</v>
      </c>
      <c r="E40" s="256">
        <f t="shared" si="2"/>
        <v>27.733333333333334</v>
      </c>
      <c r="F40">
        <f>2*2*52</f>
        <v>208</v>
      </c>
      <c r="G40" s="265">
        <v>1.6</v>
      </c>
      <c r="H40" s="205"/>
    </row>
    <row r="41" spans="1:11" hidden="1">
      <c r="A41" t="s">
        <v>279</v>
      </c>
      <c r="B41" s="260" t="s">
        <v>8</v>
      </c>
      <c r="C41" s="257" t="s">
        <v>276</v>
      </c>
      <c r="D41" s="256">
        <v>15013.18</v>
      </c>
      <c r="E41" s="256">
        <f t="shared" si="2"/>
        <v>1251.0983333333334</v>
      </c>
      <c r="F41">
        <f>113*3.5*52</f>
        <v>20566</v>
      </c>
      <c r="G41" s="265">
        <v>0.73</v>
      </c>
      <c r="H41" s="205"/>
    </row>
    <row r="42" spans="1:11" hidden="1">
      <c r="A42" s="257" t="s">
        <v>290</v>
      </c>
      <c r="B42" s="257" t="s">
        <v>6</v>
      </c>
      <c r="C42" s="257" t="s">
        <v>297</v>
      </c>
      <c r="D42" s="278">
        <f>E42*12</f>
        <v>183.06120000000001</v>
      </c>
      <c r="E42" s="245">
        <f>F42*G42</f>
        <v>15.255100000000001</v>
      </c>
      <c r="F42" s="246">
        <v>2.17</v>
      </c>
      <c r="G42" s="247">
        <v>7.03</v>
      </c>
      <c r="H42" s="248"/>
      <c r="I42" s="160"/>
      <c r="J42" s="160"/>
      <c r="K42" s="160"/>
    </row>
    <row r="43" spans="1:11" hidden="1">
      <c r="A43" s="133" t="s">
        <v>312</v>
      </c>
      <c r="B43" s="260" t="s">
        <v>6</v>
      </c>
      <c r="C43" s="257" t="s">
        <v>297</v>
      </c>
      <c r="D43" s="256">
        <v>0</v>
      </c>
      <c r="E43" s="256">
        <f>D43/12</f>
        <v>0</v>
      </c>
    </row>
    <row r="44" spans="1:11" hidden="1">
      <c r="A44" s="133" t="s">
        <v>312</v>
      </c>
      <c r="B44" s="260" t="s">
        <v>7</v>
      </c>
      <c r="C44" s="257" t="s">
        <v>297</v>
      </c>
      <c r="D44" s="256">
        <v>0</v>
      </c>
      <c r="E44" s="256">
        <f>D44/12</f>
        <v>0</v>
      </c>
    </row>
    <row r="45" spans="1:11" hidden="1">
      <c r="A45" s="257" t="s">
        <v>289</v>
      </c>
      <c r="B45" s="257" t="s">
        <v>8</v>
      </c>
      <c r="C45" s="257" t="s">
        <v>297</v>
      </c>
      <c r="D45" s="278">
        <f>E45*12</f>
        <v>365.27880000000005</v>
      </c>
      <c r="E45" s="245">
        <f>F45*G45</f>
        <v>30.439900000000002</v>
      </c>
      <c r="F45" s="246">
        <v>4.33</v>
      </c>
      <c r="G45" s="247">
        <v>7.03</v>
      </c>
      <c r="H45" s="248"/>
      <c r="I45" s="160"/>
      <c r="J45" s="160"/>
      <c r="K45" s="160"/>
    </row>
    <row r="46" spans="1:11" hidden="1">
      <c r="A46" s="257" t="s">
        <v>306</v>
      </c>
      <c r="B46" s="261" t="s">
        <v>8</v>
      </c>
      <c r="C46" s="257" t="s">
        <v>297</v>
      </c>
      <c r="D46" s="278">
        <f>E46*12</f>
        <v>675.48</v>
      </c>
      <c r="E46" s="244">
        <f>F46*G46</f>
        <v>56.29</v>
      </c>
      <c r="F46" s="72">
        <v>4.33</v>
      </c>
      <c r="G46" s="265">
        <v>13</v>
      </c>
    </row>
    <row r="47" spans="1:11" hidden="1">
      <c r="A47" s="133" t="s">
        <v>312</v>
      </c>
      <c r="B47" s="260" t="s">
        <v>8</v>
      </c>
      <c r="C47" s="257" t="s">
        <v>297</v>
      </c>
      <c r="D47" s="256">
        <v>4000</v>
      </c>
      <c r="E47" s="256">
        <f>D47/12</f>
        <v>333.33333333333331</v>
      </c>
    </row>
    <row r="48" spans="1:11" hidden="1">
      <c r="A48" s="133" t="s">
        <v>367</v>
      </c>
      <c r="B48" s="260" t="s">
        <v>8</v>
      </c>
      <c r="C48" s="257" t="s">
        <v>297</v>
      </c>
      <c r="D48" s="256">
        <f>E48*12</f>
        <v>731.40120000000002</v>
      </c>
      <c r="E48" s="256">
        <f>F48*G48</f>
        <v>60.950099999999999</v>
      </c>
      <c r="F48">
        <v>8.67</v>
      </c>
      <c r="G48" s="247">
        <v>7.03</v>
      </c>
    </row>
    <row r="49" spans="1:11" ht="76.5" hidden="1">
      <c r="A49" s="263" t="s">
        <v>294</v>
      </c>
      <c r="B49" s="263" t="s">
        <v>9</v>
      </c>
      <c r="C49" s="263" t="s">
        <v>297</v>
      </c>
      <c r="D49" s="313">
        <f>E49*12</f>
        <v>183.06120000000001</v>
      </c>
      <c r="E49" s="314">
        <f>F49*G49</f>
        <v>15.255100000000001</v>
      </c>
      <c r="F49" s="315">
        <v>2.17</v>
      </c>
      <c r="G49" s="316">
        <v>7.03</v>
      </c>
      <c r="H49" s="248"/>
      <c r="I49" s="160"/>
      <c r="J49" s="160" t="s">
        <v>347</v>
      </c>
      <c r="K49" s="160" t="s">
        <v>348</v>
      </c>
    </row>
    <row r="50" spans="1:11" hidden="1">
      <c r="A50" s="264" t="s">
        <v>298</v>
      </c>
      <c r="B50" s="257" t="s">
        <v>9</v>
      </c>
      <c r="C50" s="263" t="s">
        <v>297</v>
      </c>
      <c r="D50" s="278">
        <f>E50*12</f>
        <v>731.40120000000002</v>
      </c>
      <c r="E50" s="245">
        <f>F50*G50</f>
        <v>60.950099999999999</v>
      </c>
      <c r="F50" s="266">
        <v>8.67</v>
      </c>
      <c r="G50" s="247">
        <v>7.03</v>
      </c>
      <c r="H50" s="248"/>
      <c r="I50" s="249"/>
      <c r="J50" s="160"/>
      <c r="K50" s="160"/>
    </row>
    <row r="51" spans="1:11" ht="25.5" hidden="1">
      <c r="A51" s="274" t="s">
        <v>302</v>
      </c>
      <c r="B51" s="260" t="s">
        <v>9</v>
      </c>
      <c r="C51" s="257" t="s">
        <v>297</v>
      </c>
      <c r="D51" s="278">
        <f>E51*12</f>
        <v>1352.52</v>
      </c>
      <c r="E51" s="244">
        <f>F51*G51</f>
        <v>112.71</v>
      </c>
      <c r="F51" s="255">
        <f>4.33+2.17+2.17</f>
        <v>8.67</v>
      </c>
      <c r="G51" s="265">
        <v>13</v>
      </c>
    </row>
    <row r="52" spans="1:11" hidden="1">
      <c r="A52" s="133" t="s">
        <v>312</v>
      </c>
      <c r="B52" s="260" t="s">
        <v>10</v>
      </c>
      <c r="C52" s="257" t="s">
        <v>297</v>
      </c>
      <c r="D52" s="256">
        <v>0</v>
      </c>
      <c r="E52" s="256">
        <f>D52/12</f>
        <v>0</v>
      </c>
    </row>
    <row r="53" spans="1:11" hidden="1">
      <c r="A53" s="257" t="s">
        <v>289</v>
      </c>
      <c r="B53" s="257" t="s">
        <v>11</v>
      </c>
      <c r="C53" s="257" t="s">
        <v>297</v>
      </c>
      <c r="D53" s="278">
        <f>E53*12</f>
        <v>731.40120000000002</v>
      </c>
      <c r="E53" s="245">
        <f>F53*G53</f>
        <v>60.950099999999999</v>
      </c>
      <c r="F53" s="266">
        <v>8.67</v>
      </c>
      <c r="G53" s="247">
        <v>7.03</v>
      </c>
      <c r="H53" s="248"/>
      <c r="I53" s="160"/>
      <c r="J53" s="160"/>
      <c r="K53" s="160"/>
    </row>
    <row r="54" spans="1:11" hidden="1">
      <c r="A54" s="133" t="s">
        <v>312</v>
      </c>
      <c r="B54" s="260" t="s">
        <v>11</v>
      </c>
      <c r="C54" s="257" t="s">
        <v>297</v>
      </c>
      <c r="D54" s="256">
        <v>6000</v>
      </c>
      <c r="E54" s="256">
        <f>D54/12</f>
        <v>500</v>
      </c>
      <c r="H54" t="s">
        <v>368</v>
      </c>
    </row>
    <row r="55" spans="1:11">
      <c r="A55" s="133" t="s">
        <v>301</v>
      </c>
      <c r="B55" s="259" t="s">
        <v>108</v>
      </c>
      <c r="C55" s="257" t="s">
        <v>297</v>
      </c>
      <c r="D55" s="278">
        <f>E55*12</f>
        <v>5989.5828000000001</v>
      </c>
      <c r="E55" s="253">
        <f>F55*G55</f>
        <v>499.13189999999997</v>
      </c>
      <c r="F55" s="250">
        <v>8.67</v>
      </c>
      <c r="G55" s="254">
        <v>57.57</v>
      </c>
    </row>
    <row r="56" spans="1:11">
      <c r="A56" s="133" t="s">
        <v>312</v>
      </c>
      <c r="B56" s="260" t="s">
        <v>108</v>
      </c>
      <c r="C56" s="257" t="s">
        <v>297</v>
      </c>
      <c r="D56" s="256">
        <v>5000</v>
      </c>
      <c r="E56" s="256">
        <f>D56/12</f>
        <v>416.66666666666669</v>
      </c>
      <c r="H56" t="s">
        <v>369</v>
      </c>
    </row>
    <row r="57" spans="1:11" hidden="1">
      <c r="A57" s="197" t="s">
        <v>310</v>
      </c>
      <c r="B57" s="260"/>
      <c r="C57" s="257" t="s">
        <v>297</v>
      </c>
      <c r="D57" t="s">
        <v>314</v>
      </c>
    </row>
    <row r="58" spans="1:11" hidden="1">
      <c r="A58" s="197" t="s">
        <v>313</v>
      </c>
      <c r="B58" s="260"/>
      <c r="C58" s="257" t="s">
        <v>297</v>
      </c>
      <c r="D58" t="s">
        <v>315</v>
      </c>
    </row>
    <row r="59" spans="1:11" hidden="1">
      <c r="A59" t="s">
        <v>379</v>
      </c>
      <c r="B59" s="260" t="s">
        <v>8</v>
      </c>
      <c r="C59" s="257" t="s">
        <v>297</v>
      </c>
      <c r="D59">
        <v>500</v>
      </c>
    </row>
    <row r="60" spans="1:11" ht="15" hidden="1" customHeight="1">
      <c r="A60" s="424" t="s">
        <v>380</v>
      </c>
      <c r="B60" s="260" t="s">
        <v>9</v>
      </c>
      <c r="C60" s="257" t="s">
        <v>297</v>
      </c>
      <c r="D60" s="278">
        <v>800</v>
      </c>
      <c r="E60" s="244"/>
      <c r="F60" s="255"/>
      <c r="G60" s="265"/>
    </row>
  </sheetData>
  <autoFilter ref="A5:K60" xr:uid="{00000000-0009-0000-0000-000008000000}">
    <filterColumn colId="1">
      <filters>
        <filter val="Sarrià de Ter"/>
      </filters>
    </filterColumn>
    <filterColumn colId="2">
      <filters>
        <filter val="SERVEI MUNICIPAL"/>
      </filters>
    </filterColumn>
  </autoFilter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V64"/>
  <sheetViews>
    <sheetView topLeftCell="A46" zoomScale="90" zoomScaleNormal="90" workbookViewId="0">
      <pane xSplit="2" ySplit="1" topLeftCell="C47" activePane="bottomRight" state="frozen"/>
      <selection activeCell="C78" sqref="C78"/>
      <selection pane="topRight" activeCell="C78" sqref="C78"/>
      <selection pane="bottomLeft" activeCell="C78" sqref="C78"/>
      <selection pane="bottomRight" activeCell="C78" sqref="C78"/>
    </sheetView>
  </sheetViews>
  <sheetFormatPr defaultColWidth="11.42578125" defaultRowHeight="12.75"/>
  <cols>
    <col min="1" max="1" width="6.5703125" customWidth="1"/>
    <col min="2" max="2" width="57.140625" customWidth="1"/>
    <col min="3" max="3" width="16.42578125" customWidth="1"/>
    <col min="4" max="4" width="15.42578125" customWidth="1"/>
    <col min="5" max="5" width="13.85546875" customWidth="1"/>
    <col min="6" max="6" width="15" customWidth="1"/>
    <col min="7" max="7" width="15.140625" customWidth="1"/>
    <col min="8" max="8" width="14.85546875" customWidth="1"/>
    <col min="9" max="9" width="14.5703125" bestFit="1" customWidth="1"/>
    <col min="10" max="10" width="14.5703125" customWidth="1"/>
    <col min="11" max="11" width="13" customWidth="1"/>
    <col min="12" max="12" width="13.42578125" customWidth="1"/>
    <col min="13" max="13" width="14.5703125" customWidth="1"/>
    <col min="14" max="14" width="13.5703125" customWidth="1"/>
    <col min="15" max="15" width="15.42578125" customWidth="1"/>
    <col min="16" max="16" width="13.5703125" bestFit="1" customWidth="1"/>
    <col min="17" max="17" width="15.140625" customWidth="1"/>
    <col min="18" max="18" width="21.5703125" customWidth="1"/>
    <col min="19" max="19" width="14.5703125" customWidth="1"/>
    <col min="20" max="20" width="13.85546875" customWidth="1"/>
    <col min="21" max="21" width="13.140625" customWidth="1"/>
    <col min="22" max="22" width="13.42578125" customWidth="1"/>
    <col min="23" max="23" width="13" bestFit="1" customWidth="1"/>
  </cols>
  <sheetData>
    <row r="1" spans="3:24" ht="15" hidden="1" customHeight="1">
      <c r="D1" s="520" t="s">
        <v>111</v>
      </c>
      <c r="E1" s="520"/>
      <c r="F1" s="520"/>
      <c r="G1" s="520"/>
      <c r="O1">
        <f>511/365</f>
        <v>1.4</v>
      </c>
    </row>
    <row r="2" spans="3:24" ht="15" hidden="1" customHeight="1">
      <c r="D2" s="14" t="s">
        <v>110</v>
      </c>
      <c r="E2" s="14" t="s">
        <v>110</v>
      </c>
      <c r="F2" s="14" t="s">
        <v>110</v>
      </c>
      <c r="G2" s="14" t="s">
        <v>110</v>
      </c>
      <c r="H2" s="73" t="s">
        <v>112</v>
      </c>
      <c r="I2" s="511" t="s">
        <v>58</v>
      </c>
      <c r="J2" s="512"/>
      <c r="K2" s="513"/>
      <c r="L2" s="14" t="s">
        <v>110</v>
      </c>
      <c r="M2" s="14"/>
      <c r="N2" s="14"/>
      <c r="R2" t="s">
        <v>64</v>
      </c>
    </row>
    <row r="3" spans="3:24" ht="33.75" hidden="1" customHeight="1">
      <c r="C3" s="4" t="s">
        <v>57</v>
      </c>
      <c r="D3" s="15" t="s">
        <v>15</v>
      </c>
      <c r="E3" s="15" t="s">
        <v>16</v>
      </c>
      <c r="F3" s="15" t="s">
        <v>17</v>
      </c>
      <c r="G3" s="15" t="s">
        <v>22</v>
      </c>
      <c r="H3" s="15" t="s">
        <v>23</v>
      </c>
      <c r="I3" s="36" t="s">
        <v>55</v>
      </c>
      <c r="J3" s="36" t="s">
        <v>56</v>
      </c>
      <c r="K3" s="36" t="s">
        <v>49</v>
      </c>
      <c r="L3" s="15" t="s">
        <v>24</v>
      </c>
      <c r="M3" s="15" t="s">
        <v>14</v>
      </c>
      <c r="N3" s="16" t="s">
        <v>25</v>
      </c>
      <c r="O3" s="40" t="s">
        <v>65</v>
      </c>
      <c r="P3" s="40" t="s">
        <v>125</v>
      </c>
      <c r="Q3" t="s">
        <v>66</v>
      </c>
      <c r="R3" t="s">
        <v>60</v>
      </c>
      <c r="S3" t="s">
        <v>61</v>
      </c>
      <c r="U3" s="15" t="s">
        <v>63</v>
      </c>
    </row>
    <row r="4" spans="3:24" ht="12.75" hidden="1" customHeight="1">
      <c r="C4" s="17" t="s">
        <v>0</v>
      </c>
      <c r="D4" s="79">
        <v>108.57818181818183</v>
      </c>
      <c r="E4" s="79">
        <v>37.399636363636368</v>
      </c>
      <c r="F4" s="79">
        <v>27.587999999999997</v>
      </c>
      <c r="G4" s="79">
        <v>31.001708686755759</v>
      </c>
      <c r="H4" s="80">
        <v>175</v>
      </c>
      <c r="I4" s="79">
        <v>11.465</v>
      </c>
      <c r="J4" s="79">
        <v>4.056</v>
      </c>
      <c r="K4" s="30"/>
      <c r="L4" s="18">
        <v>52.210909090909091</v>
      </c>
      <c r="M4" s="18">
        <f>SUM(D4:L4)</f>
        <v>447.29943595948299</v>
      </c>
      <c r="N4" s="32">
        <f t="shared" ref="N4:N18" si="0">SUM(D4:K4)/M4</f>
        <v>0.88327526284732805</v>
      </c>
      <c r="O4" s="37">
        <f t="shared" ref="O4:O18" si="1">R4*1000/S4/365</f>
        <v>1.5221626126360748</v>
      </c>
      <c r="P4" s="37">
        <f t="shared" ref="P4:P18" si="2">M4*1000/U4/365</f>
        <v>1.5711255214593711</v>
      </c>
      <c r="Q4">
        <f t="shared" ref="Q4:Q17" si="3">(P4-O4)/O4</f>
        <v>3.2166674188970248E-2</v>
      </c>
      <c r="R4" t="s">
        <v>62</v>
      </c>
      <c r="S4">
        <v>789</v>
      </c>
      <c r="U4" s="18">
        <v>780</v>
      </c>
    </row>
    <row r="5" spans="3:24" ht="15" hidden="1" customHeight="1">
      <c r="C5" s="17" t="s">
        <v>1</v>
      </c>
      <c r="D5" s="79">
        <v>512.34872727272727</v>
      </c>
      <c r="E5" s="79">
        <v>189.8607272727273</v>
      </c>
      <c r="F5" s="79">
        <v>138.2738181818182</v>
      </c>
      <c r="G5" s="79">
        <v>119.64643951291725</v>
      </c>
      <c r="H5" s="79">
        <v>56.948182266704194</v>
      </c>
      <c r="I5" s="79">
        <v>50.390999999999998</v>
      </c>
      <c r="J5" s="79">
        <v>17.555</v>
      </c>
      <c r="K5" s="30"/>
      <c r="L5" s="18">
        <v>303.25963636363645</v>
      </c>
      <c r="M5" s="18">
        <f t="shared" ref="M5:M16" si="4">SUM(D5:L5)</f>
        <v>1388.2835308705307</v>
      </c>
      <c r="N5" s="32">
        <f t="shared" si="0"/>
        <v>0.78155785211002549</v>
      </c>
      <c r="O5" s="37">
        <f t="shared" si="1"/>
        <v>1.3028381496361554</v>
      </c>
      <c r="P5" s="37">
        <f t="shared" si="2"/>
        <v>0.7376874559606208</v>
      </c>
      <c r="Q5">
        <f t="shared" si="3"/>
        <v>-0.43378426847061907</v>
      </c>
      <c r="R5">
        <v>2422.38</v>
      </c>
      <c r="S5">
        <v>5094</v>
      </c>
      <c r="U5" s="18">
        <v>5156</v>
      </c>
      <c r="X5" s="25" t="s">
        <v>59</v>
      </c>
    </row>
    <row r="6" spans="3:24" ht="12.75" hidden="1" customHeight="1">
      <c r="C6" s="17" t="s">
        <v>2</v>
      </c>
      <c r="D6" s="79">
        <v>194.64654545454547</v>
      </c>
      <c r="E6" s="79">
        <v>66.98181818181817</v>
      </c>
      <c r="F6" s="79">
        <v>40.470545454545444</v>
      </c>
      <c r="G6" s="79">
        <v>37.25642197918728</v>
      </c>
      <c r="H6" s="79">
        <v>32.79466500429313</v>
      </c>
      <c r="I6" s="79">
        <v>33.658999999999999</v>
      </c>
      <c r="J6" s="79">
        <v>5.1669999999999998</v>
      </c>
      <c r="K6" s="18">
        <v>164.62</v>
      </c>
      <c r="L6" s="18">
        <v>48.614181818181812</v>
      </c>
      <c r="M6" s="18">
        <f t="shared" si="4"/>
        <v>624.21017789257121</v>
      </c>
      <c r="N6" s="32">
        <f t="shared" si="0"/>
        <v>0.92211888953443422</v>
      </c>
      <c r="O6" s="37">
        <f t="shared" si="1"/>
        <v>1.110077188272264</v>
      </c>
      <c r="P6" s="37">
        <f t="shared" si="2"/>
        <v>0.94223959831325133</v>
      </c>
      <c r="Q6">
        <f t="shared" si="3"/>
        <v>-0.15119452208565504</v>
      </c>
      <c r="R6">
        <v>727.7</v>
      </c>
      <c r="S6">
        <v>1796</v>
      </c>
      <c r="U6" s="18">
        <v>1815</v>
      </c>
    </row>
    <row r="7" spans="3:24" ht="12.75" hidden="1" customHeight="1">
      <c r="C7" s="17" t="s">
        <v>12</v>
      </c>
      <c r="D7" s="79">
        <v>72.370909090909095</v>
      </c>
      <c r="E7" s="79">
        <v>24.488727272727274</v>
      </c>
      <c r="F7" s="79">
        <v>18.078545454545452</v>
      </c>
      <c r="G7" s="79">
        <v>19.44480808179118</v>
      </c>
      <c r="H7" s="79">
        <v>10.6</v>
      </c>
      <c r="I7" s="79">
        <v>6.6879999999999997</v>
      </c>
      <c r="J7" s="79">
        <v>3.2450000000000001</v>
      </c>
      <c r="K7" s="18">
        <v>37.43</v>
      </c>
      <c r="L7" s="18">
        <v>30.452727272727273</v>
      </c>
      <c r="M7" s="18">
        <f t="shared" si="4"/>
        <v>222.79871717270026</v>
      </c>
      <c r="N7" s="32">
        <f t="shared" si="0"/>
        <v>0.86331731322706784</v>
      </c>
      <c r="O7" s="37">
        <f t="shared" si="1"/>
        <v>1.5522372715824102</v>
      </c>
      <c r="P7" s="37">
        <f t="shared" si="2"/>
        <v>1.1409484940350803</v>
      </c>
      <c r="Q7">
        <f t="shared" si="3"/>
        <v>-0.26496514745329264</v>
      </c>
      <c r="R7">
        <v>301.98</v>
      </c>
      <c r="S7">
        <v>533</v>
      </c>
      <c r="U7" s="18">
        <v>535</v>
      </c>
    </row>
    <row r="8" spans="3:24" ht="12.75" hidden="1" customHeight="1">
      <c r="C8" s="17" t="s">
        <v>3</v>
      </c>
      <c r="D8" s="79">
        <v>98.091272727272724</v>
      </c>
      <c r="E8" s="79">
        <v>37.646181818181816</v>
      </c>
      <c r="F8" s="79">
        <v>24.679636363636362</v>
      </c>
      <c r="G8" s="79">
        <v>24.338251611077048</v>
      </c>
      <c r="H8" s="79">
        <v>83.153961063811607</v>
      </c>
      <c r="I8" s="79">
        <v>8.4809999999999999</v>
      </c>
      <c r="J8" s="79">
        <v>2.4123600000000001</v>
      </c>
      <c r="K8" s="18">
        <v>13.95</v>
      </c>
      <c r="L8" s="18">
        <v>37.18690909090909</v>
      </c>
      <c r="M8" s="18">
        <f t="shared" si="4"/>
        <v>329.93957267488861</v>
      </c>
      <c r="N8" s="32">
        <f t="shared" si="0"/>
        <v>0.88729175833796758</v>
      </c>
      <c r="O8" s="37">
        <f t="shared" si="1"/>
        <v>1.0885413000323811</v>
      </c>
      <c r="P8" s="37">
        <f t="shared" si="2"/>
        <v>0.90484888360933147</v>
      </c>
      <c r="Q8">
        <f t="shared" si="3"/>
        <v>-0.16875098484328094</v>
      </c>
      <c r="R8">
        <v>386.59</v>
      </c>
      <c r="S8">
        <v>973</v>
      </c>
      <c r="U8" s="18">
        <v>999</v>
      </c>
    </row>
    <row r="9" spans="3:24" ht="12.75" hidden="1" customHeight="1">
      <c r="C9" s="17" t="s">
        <v>4</v>
      </c>
      <c r="D9" s="79">
        <v>135.03381818181819</v>
      </c>
      <c r="E9" s="79">
        <v>46.80981818181818</v>
      </c>
      <c r="F9" s="79">
        <v>28.746545454545455</v>
      </c>
      <c r="G9" s="79">
        <v>26.277667502297692</v>
      </c>
      <c r="H9" s="79">
        <v>26.713434220761545</v>
      </c>
      <c r="I9" s="79">
        <v>9.7899999999999991</v>
      </c>
      <c r="J9" s="79">
        <v>3.2827699999999989</v>
      </c>
      <c r="K9" s="18">
        <v>40.450000000000003</v>
      </c>
      <c r="L9" s="18">
        <v>37.896000000000001</v>
      </c>
      <c r="M9" s="18">
        <f t="shared" si="4"/>
        <v>355.00005354124107</v>
      </c>
      <c r="N9" s="32">
        <f t="shared" si="0"/>
        <v>0.89325072032532082</v>
      </c>
      <c r="O9" s="37">
        <f t="shared" si="1"/>
        <v>1.24441365802391</v>
      </c>
      <c r="P9" s="37">
        <f t="shared" si="2"/>
        <v>0.86071051895076034</v>
      </c>
      <c r="Q9">
        <f t="shared" si="3"/>
        <v>-0.30834050767528404</v>
      </c>
      <c r="R9">
        <v>520.98</v>
      </c>
      <c r="S9">
        <v>1147</v>
      </c>
      <c r="U9" s="18">
        <v>1130</v>
      </c>
    </row>
    <row r="10" spans="3:24" ht="12.75" hidden="1" customHeight="1">
      <c r="C10" s="17" t="s">
        <v>5</v>
      </c>
      <c r="D10" s="79">
        <v>267.86290909090911</v>
      </c>
      <c r="E10" s="79">
        <v>82.666909090909087</v>
      </c>
      <c r="F10" s="79">
        <v>64.944000000000003</v>
      </c>
      <c r="G10" s="79">
        <v>59.907237032379506</v>
      </c>
      <c r="H10" s="79">
        <v>51.9103413966752</v>
      </c>
      <c r="I10" s="79">
        <v>37.427</v>
      </c>
      <c r="J10" s="79">
        <v>9.7721599999999977</v>
      </c>
      <c r="K10" s="18">
        <v>12.44</v>
      </c>
      <c r="L10" s="18">
        <v>105.34363636363636</v>
      </c>
      <c r="M10" s="18">
        <f t="shared" si="4"/>
        <v>692.27419297450933</v>
      </c>
      <c r="N10" s="32">
        <f t="shared" si="0"/>
        <v>0.84782960648727335</v>
      </c>
      <c r="O10" s="37">
        <f t="shared" si="1"/>
        <v>1.1969660071029935</v>
      </c>
      <c r="P10" s="37">
        <f t="shared" si="2"/>
        <v>0.70428578707304001</v>
      </c>
      <c r="Q10">
        <f t="shared" si="3"/>
        <v>-0.41160752862345956</v>
      </c>
      <c r="R10">
        <v>1179.6099999999999</v>
      </c>
      <c r="S10">
        <v>2700</v>
      </c>
      <c r="U10" s="18">
        <v>2693</v>
      </c>
    </row>
    <row r="11" spans="3:24" ht="12.75" hidden="1" customHeight="1">
      <c r="C11" s="17" t="s">
        <v>6</v>
      </c>
      <c r="D11" s="79">
        <v>41.303999999999995</v>
      </c>
      <c r="E11" s="79">
        <v>14.247272727272726</v>
      </c>
      <c r="F11" s="79">
        <v>8.2679999999999989</v>
      </c>
      <c r="G11" s="79">
        <v>7.0116493423360762</v>
      </c>
      <c r="H11" s="79"/>
      <c r="I11" s="79">
        <v>6.0739999999999998</v>
      </c>
      <c r="J11" s="79"/>
      <c r="K11" s="18">
        <v>15.03</v>
      </c>
      <c r="L11" s="18">
        <v>7.6363636363636385</v>
      </c>
      <c r="M11" s="18">
        <f t="shared" si="4"/>
        <v>99.571285705972429</v>
      </c>
      <c r="N11" s="32">
        <f t="shared" si="0"/>
        <v>0.92330757223610305</v>
      </c>
      <c r="O11" s="37">
        <f t="shared" si="1"/>
        <v>1.2482091240417243</v>
      </c>
      <c r="P11" s="37">
        <f t="shared" si="2"/>
        <v>0.8167606078744355</v>
      </c>
      <c r="Q11">
        <f t="shared" si="3"/>
        <v>-0.34565403173007625</v>
      </c>
      <c r="R11">
        <v>148.97999999999999</v>
      </c>
      <c r="S11">
        <v>327</v>
      </c>
      <c r="U11" s="18">
        <v>334</v>
      </c>
    </row>
    <row r="12" spans="3:24" ht="12.75" hidden="1" customHeight="1">
      <c r="C12" s="17" t="s">
        <v>7</v>
      </c>
      <c r="D12" s="79">
        <v>66.910909090909087</v>
      </c>
      <c r="E12" s="79">
        <v>24.190909090909091</v>
      </c>
      <c r="F12" s="79">
        <v>17.426181818181817</v>
      </c>
      <c r="G12" s="79">
        <v>13.193480988623591</v>
      </c>
      <c r="H12" s="79">
        <f>1.72*12</f>
        <v>20.64</v>
      </c>
      <c r="I12" s="79">
        <v>7.8479999999999999</v>
      </c>
      <c r="J12" s="79">
        <v>1.1200000000000001</v>
      </c>
      <c r="K12" s="18">
        <v>9.56</v>
      </c>
      <c r="L12" s="18">
        <v>14.527636363636365</v>
      </c>
      <c r="M12" s="18">
        <f t="shared" si="4"/>
        <v>175.41711735225996</v>
      </c>
      <c r="N12" s="32">
        <f t="shared" si="0"/>
        <v>0.91718233326988829</v>
      </c>
      <c r="O12" s="37">
        <f t="shared" si="1"/>
        <v>1.1115781572527679</v>
      </c>
      <c r="P12" s="37">
        <f t="shared" si="2"/>
        <v>0.65744848435155434</v>
      </c>
      <c r="Q12">
        <f t="shared" si="3"/>
        <v>-0.40854497719133076</v>
      </c>
      <c r="R12">
        <v>296.18</v>
      </c>
      <c r="S12">
        <v>730</v>
      </c>
      <c r="U12" s="18">
        <v>731</v>
      </c>
    </row>
    <row r="13" spans="3:24" ht="12.75" hidden="1" customHeight="1">
      <c r="C13" s="17" t="s">
        <v>8</v>
      </c>
      <c r="D13" s="79">
        <v>341.52000000000004</v>
      </c>
      <c r="E13" s="79">
        <v>128.23745454545454</v>
      </c>
      <c r="F13" s="79">
        <v>78.765818181818176</v>
      </c>
      <c r="G13" s="79">
        <v>66.518884435703967</v>
      </c>
      <c r="H13" s="79">
        <v>54.994590264260829</v>
      </c>
      <c r="I13" s="79">
        <v>50.320999999999998</v>
      </c>
      <c r="J13" s="79">
        <v>18.23695</v>
      </c>
      <c r="K13" s="18">
        <v>84.23</v>
      </c>
      <c r="L13" s="18">
        <v>111.65781818181819</v>
      </c>
      <c r="M13" s="18">
        <f t="shared" si="4"/>
        <v>934.48251560905578</v>
      </c>
      <c r="N13" s="32">
        <f t="shared" si="0"/>
        <v>0.88051374282905193</v>
      </c>
      <c r="O13" s="37">
        <f t="shared" si="1"/>
        <v>1.1658969476496335</v>
      </c>
      <c r="P13" s="37">
        <f t="shared" si="2"/>
        <v>0.65545982339011688</v>
      </c>
      <c r="Q13">
        <f t="shared" si="3"/>
        <v>-0.43780638184920379</v>
      </c>
      <c r="R13">
        <v>1640.93</v>
      </c>
      <c r="S13">
        <v>3856</v>
      </c>
      <c r="U13" s="18">
        <v>3906</v>
      </c>
    </row>
    <row r="14" spans="3:24" ht="12.75" hidden="1" customHeight="1">
      <c r="C14" s="17" t="s">
        <v>9</v>
      </c>
      <c r="D14" s="79">
        <v>380.49818181818176</v>
      </c>
      <c r="E14" s="79">
        <v>135.97854545454547</v>
      </c>
      <c r="F14" s="79">
        <v>102.70472727272725</v>
      </c>
      <c r="G14" s="79">
        <v>99.733299714928279</v>
      </c>
      <c r="H14" s="79">
        <v>29.37</v>
      </c>
      <c r="I14" s="79"/>
      <c r="J14" s="79">
        <v>1.3109999999999999</v>
      </c>
      <c r="K14" s="18">
        <v>323.94</v>
      </c>
      <c r="L14" s="18">
        <v>117.31963636363636</v>
      </c>
      <c r="M14" s="18">
        <f t="shared" si="4"/>
        <v>1190.8553906240193</v>
      </c>
      <c r="N14" s="32">
        <f t="shared" si="0"/>
        <v>0.9014828859260906</v>
      </c>
      <c r="O14" s="37">
        <f t="shared" si="1"/>
        <v>1.3283505647441238</v>
      </c>
      <c r="P14" s="37">
        <f t="shared" si="2"/>
        <v>0.79868237663621966</v>
      </c>
      <c r="Q14">
        <f t="shared" si="3"/>
        <v>-0.3987412676787867</v>
      </c>
      <c r="R14">
        <v>1945.21</v>
      </c>
      <c r="S14">
        <v>4012</v>
      </c>
      <c r="U14" s="18">
        <v>4085</v>
      </c>
    </row>
    <row r="15" spans="3:24" ht="12.75" hidden="1" customHeight="1">
      <c r="C15" s="17" t="s">
        <v>10</v>
      </c>
      <c r="D15" s="79">
        <v>59.131636363636375</v>
      </c>
      <c r="E15" s="79">
        <v>20.378181818181819</v>
      </c>
      <c r="F15" s="79">
        <v>11.827636363636362</v>
      </c>
      <c r="G15" s="79">
        <v>10.031346197027338</v>
      </c>
      <c r="H15" s="79"/>
      <c r="I15" s="79">
        <v>7.0179999999999998</v>
      </c>
      <c r="J15" s="79">
        <v>0.72175999999999985</v>
      </c>
      <c r="K15" s="18">
        <v>18.57</v>
      </c>
      <c r="L15" s="18">
        <v>11.098909090909093</v>
      </c>
      <c r="M15" s="18">
        <f t="shared" si="4"/>
        <v>138.777469833391</v>
      </c>
      <c r="N15" s="32">
        <f t="shared" si="0"/>
        <v>0.92002369617896995</v>
      </c>
      <c r="O15" s="37">
        <f t="shared" si="1"/>
        <v>0.62658245153528558</v>
      </c>
      <c r="P15" s="37">
        <f t="shared" si="2"/>
        <v>0.73827620605607658</v>
      </c>
      <c r="Q15">
        <f t="shared" si="3"/>
        <v>0.17825867010337273</v>
      </c>
      <c r="R15">
        <v>114.58</v>
      </c>
      <c r="S15">
        <v>501</v>
      </c>
      <c r="U15" s="18">
        <v>515</v>
      </c>
    </row>
    <row r="16" spans="3:24" ht="12.75" hidden="1" customHeight="1">
      <c r="C16" s="17" t="s">
        <v>53</v>
      </c>
      <c r="D16" s="79">
        <v>309.93163636363636</v>
      </c>
      <c r="E16" s="79">
        <v>128.55818181818182</v>
      </c>
      <c r="F16" s="79">
        <v>86.070545454545439</v>
      </c>
      <c r="G16" s="79">
        <v>90.691398670532649</v>
      </c>
      <c r="H16" s="79">
        <f>93.2402896085801+30.3591861164088</f>
        <v>123.59947572498891</v>
      </c>
      <c r="I16" s="79">
        <f>24.8355+8.2785</f>
        <v>33.113999999999997</v>
      </c>
      <c r="J16" s="79"/>
      <c r="K16" s="18">
        <v>164.58</v>
      </c>
      <c r="L16" s="18">
        <v>106.38545454545454</v>
      </c>
      <c r="M16" s="18">
        <f t="shared" si="4"/>
        <v>1042.9306925773399</v>
      </c>
      <c r="N16" s="32">
        <f t="shared" si="0"/>
        <v>0.89799374464419124</v>
      </c>
      <c r="O16" s="37">
        <f t="shared" si="1"/>
        <v>1.3545260091931006</v>
      </c>
      <c r="P16" s="37">
        <f t="shared" si="2"/>
        <v>0.78866805498912185</v>
      </c>
      <c r="Q16">
        <f t="shared" si="3"/>
        <v>-0.41775348008346019</v>
      </c>
      <c r="R16">
        <v>1785.78</v>
      </c>
      <c r="S16">
        <v>3612</v>
      </c>
      <c r="U16" s="18">
        <v>3623</v>
      </c>
    </row>
    <row r="17" spans="3:24" ht="12.75" hidden="1" customHeight="1">
      <c r="C17" s="17" t="s">
        <v>13</v>
      </c>
      <c r="D17" s="79">
        <v>498.39490909090898</v>
      </c>
      <c r="E17" s="79">
        <v>192.99927272727274</v>
      </c>
      <c r="F17" s="79">
        <v>123.56836363636361</v>
      </c>
      <c r="G17" s="79">
        <v>106.46423145763629</v>
      </c>
      <c r="H17" s="79">
        <v>45.468660194653992</v>
      </c>
      <c r="I17" s="79"/>
      <c r="J17" s="79">
        <v>22.763999999999999</v>
      </c>
      <c r="K17" s="18">
        <v>328.02</v>
      </c>
      <c r="L17" s="18">
        <v>195.81381818181816</v>
      </c>
      <c r="M17" s="18">
        <f>SUM(D17:L17)</f>
        <v>1513.4932552886539</v>
      </c>
      <c r="N17" s="32">
        <f t="shared" si="0"/>
        <v>0.87062128126598592</v>
      </c>
      <c r="O17" s="37">
        <f t="shared" si="1"/>
        <v>1.2059717752178136</v>
      </c>
      <c r="P17" s="37">
        <f t="shared" si="2"/>
        <v>0.78325592440584269</v>
      </c>
      <c r="Q17">
        <f t="shared" si="3"/>
        <v>-0.35051885914628739</v>
      </c>
      <c r="R17">
        <v>2302.58</v>
      </c>
      <c r="S17">
        <v>5231</v>
      </c>
      <c r="U17" s="18">
        <v>5294</v>
      </c>
    </row>
    <row r="18" spans="3:24" ht="12.75" hidden="1" customHeight="1">
      <c r="C18" s="7" t="s">
        <v>14</v>
      </c>
      <c r="D18" s="81">
        <f>SUM(D4:D17)</f>
        <v>3086.6236363636367</v>
      </c>
      <c r="E18" s="81">
        <f t="shared" ref="E18:M18" si="5">SUM(E4:E17)</f>
        <v>1130.4436363636364</v>
      </c>
      <c r="F18" s="19">
        <f t="shared" si="5"/>
        <v>771.41236363636358</v>
      </c>
      <c r="G18" s="19">
        <f t="shared" si="5"/>
        <v>711.5168252131939</v>
      </c>
      <c r="H18" s="19">
        <f t="shared" si="5"/>
        <v>711.19331013614942</v>
      </c>
      <c r="I18" s="19">
        <f t="shared" si="5"/>
        <v>262.27600000000001</v>
      </c>
      <c r="J18" s="19">
        <f t="shared" si="5"/>
        <v>89.644000000000005</v>
      </c>
      <c r="K18" s="81">
        <f t="shared" si="5"/>
        <v>1212.8200000000002</v>
      </c>
      <c r="L18" s="81">
        <f t="shared" si="5"/>
        <v>1179.4036363636365</v>
      </c>
      <c r="M18" s="81">
        <f t="shared" si="5"/>
        <v>9155.3334080766144</v>
      </c>
      <c r="N18" s="33">
        <f t="shared" si="0"/>
        <v>0.87117851597592377</v>
      </c>
      <c r="O18" s="39">
        <f t="shared" si="1"/>
        <v>1.2055704815768065</v>
      </c>
      <c r="P18" s="39">
        <f t="shared" si="2"/>
        <v>0.79386964260055581</v>
      </c>
      <c r="Q18">
        <f>(P18-O18)/O18</f>
        <v>-0.34149877196542933</v>
      </c>
      <c r="R18">
        <f>SUM(R4:R17)</f>
        <v>13773.480000000001</v>
      </c>
      <c r="S18">
        <f>SUM(S4:S17)</f>
        <v>31301</v>
      </c>
      <c r="U18" s="19">
        <f>SUM(U4:U17)</f>
        <v>31596</v>
      </c>
    </row>
    <row r="19" spans="3:24" ht="15" hidden="1" customHeight="1">
      <c r="C19" s="14"/>
      <c r="D19" s="34">
        <f t="shared" ref="D19:L19" si="6">D18/$M$18</f>
        <v>0.33713940266126102</v>
      </c>
      <c r="E19" s="34">
        <f t="shared" si="6"/>
        <v>0.12347378145359363</v>
      </c>
      <c r="F19" s="34">
        <f t="shared" si="6"/>
        <v>8.4258249181383416E-2</v>
      </c>
      <c r="G19" s="34">
        <f t="shared" si="6"/>
        <v>7.7716102024805667E-2</v>
      </c>
      <c r="H19" s="34">
        <f t="shared" si="6"/>
        <v>7.7680765782789721E-2</v>
      </c>
      <c r="I19" s="34">
        <f t="shared" si="6"/>
        <v>2.864734557549007E-2</v>
      </c>
      <c r="J19" s="34">
        <f t="shared" si="6"/>
        <v>9.7914511688802323E-3</v>
      </c>
      <c r="K19" s="34">
        <f t="shared" si="6"/>
        <v>0.13247141812771993</v>
      </c>
      <c r="L19" s="34">
        <f t="shared" si="6"/>
        <v>0.12882148402407662</v>
      </c>
      <c r="M19" s="34">
        <f>SUM(D19:L19)</f>
        <v>1.0000000000000002</v>
      </c>
      <c r="N19" s="14"/>
    </row>
    <row r="20" spans="3:24" ht="12.75" hidden="1" customHeight="1">
      <c r="L20" s="1"/>
    </row>
    <row r="21" spans="3:24" ht="12.75" hidden="1" customHeight="1">
      <c r="C21" s="17"/>
      <c r="D21" s="26"/>
      <c r="F21" s="75"/>
      <c r="G21" s="75"/>
    </row>
    <row r="22" spans="3:24" ht="12.75" hidden="1" customHeight="1">
      <c r="C22" s="17" t="s">
        <v>109</v>
      </c>
      <c r="D22" s="21">
        <v>92.29</v>
      </c>
      <c r="E22" s="24"/>
      <c r="F22" s="75"/>
      <c r="G22" s="76"/>
    </row>
    <row r="23" spans="3:24" ht="12.75" hidden="1" customHeight="1">
      <c r="C23" s="17" t="s">
        <v>26</v>
      </c>
      <c r="D23" s="64" t="s">
        <v>119</v>
      </c>
      <c r="E23" s="24"/>
      <c r="F23" s="75"/>
      <c r="G23" s="76"/>
    </row>
    <row r="24" spans="3:24" ht="12.75" hidden="1" customHeight="1">
      <c r="F24" s="75"/>
      <c r="G24" s="76"/>
      <c r="H24" s="1"/>
      <c r="I24" s="1"/>
      <c r="J24" s="1"/>
      <c r="K24" s="1"/>
      <c r="L24" s="1"/>
      <c r="M24" s="1"/>
      <c r="N24" s="1"/>
      <c r="O24" s="1"/>
      <c r="P24" s="1"/>
      <c r="U24" s="1"/>
      <c r="V24" s="1"/>
      <c r="W24" s="1"/>
      <c r="X24" s="1"/>
    </row>
    <row r="25" spans="3:24" ht="12.75" hidden="1" customHeight="1">
      <c r="F25" s="75"/>
      <c r="G25" s="76"/>
      <c r="H25" s="514"/>
      <c r="I25" s="515"/>
      <c r="J25" s="311"/>
      <c r="K25" s="122"/>
      <c r="L25" s="515"/>
      <c r="M25" s="515"/>
      <c r="N25" s="1"/>
      <c r="O25" s="1"/>
      <c r="P25" s="1"/>
      <c r="U25" s="1"/>
      <c r="V25" s="1"/>
      <c r="W25" s="1"/>
      <c r="X25" s="1"/>
    </row>
    <row r="26" spans="3:24" ht="12.75" hidden="1" customHeight="1">
      <c r="G26" s="477" t="s">
        <v>118</v>
      </c>
      <c r="H26" s="477"/>
      <c r="I26" s="477"/>
      <c r="J26" s="122"/>
      <c r="K26" s="122"/>
      <c r="L26" s="122"/>
      <c r="M26" s="123"/>
      <c r="N26" s="1"/>
      <c r="O26" s="1"/>
      <c r="P26" s="1"/>
      <c r="U26" s="1"/>
      <c r="V26" s="1"/>
      <c r="W26" s="1"/>
      <c r="X26" s="1"/>
    </row>
    <row r="27" spans="3:24" ht="12.75" hidden="1" customHeight="1">
      <c r="D27" s="15" t="s">
        <v>29</v>
      </c>
      <c r="E27" s="15" t="s">
        <v>30</v>
      </c>
      <c r="F27" s="61" t="s">
        <v>27</v>
      </c>
      <c r="G27" s="61" t="s">
        <v>114</v>
      </c>
      <c r="H27" s="61" t="s">
        <v>115</v>
      </c>
      <c r="I27" s="61" t="s">
        <v>116</v>
      </c>
      <c r="J27" s="74" t="s">
        <v>117</v>
      </c>
      <c r="K27" s="122"/>
      <c r="L27" s="74" t="s">
        <v>120</v>
      </c>
      <c r="M27" s="122"/>
      <c r="N27" s="122"/>
      <c r="O27" s="122"/>
      <c r="P27" s="122"/>
      <c r="U27" s="1"/>
      <c r="V27" s="1"/>
      <c r="W27" s="1"/>
      <c r="X27" s="1"/>
    </row>
    <row r="28" spans="3:24" ht="12.75" hidden="1" customHeight="1">
      <c r="C28" s="17" t="s">
        <v>0</v>
      </c>
      <c r="D28" s="6">
        <f>-'import de licitació'!J2-(-'import de licitació'!J2*0.1%)</f>
        <v>-56115.334726729205</v>
      </c>
      <c r="E28" s="6">
        <f>D28*0.0318</f>
        <v>-1784.4676443099888</v>
      </c>
      <c r="F28" s="6">
        <f t="shared" ref="F28:F41" si="7">-D4*$D$22</f>
        <v>-10020.680400000001</v>
      </c>
      <c r="G28" s="6">
        <v>2233.3921471768117</v>
      </c>
      <c r="H28" s="6">
        <v>1296.450008096067</v>
      </c>
      <c r="I28" s="6">
        <v>12765.434662706888</v>
      </c>
      <c r="J28" s="6">
        <v>6406.3936076339996</v>
      </c>
      <c r="K28" s="6" t="e">
        <f>J28+#REF!</f>
        <v>#REF!</v>
      </c>
      <c r="L28" s="6">
        <v>719.12796502610718</v>
      </c>
      <c r="M28" s="77" t="s">
        <v>0</v>
      </c>
      <c r="O28" s="62"/>
      <c r="P28" s="62"/>
      <c r="U28" s="1"/>
      <c r="V28" s="1"/>
      <c r="W28" s="66"/>
      <c r="X28" s="1"/>
    </row>
    <row r="29" spans="3:24" ht="12.75" hidden="1" customHeight="1">
      <c r="C29" s="17" t="s">
        <v>1</v>
      </c>
      <c r="D29" s="6">
        <f>-'import de licitació'!J3-(-'import de licitació'!J3*0.1%)</f>
        <v>-398108.84013912891</v>
      </c>
      <c r="E29" s="6">
        <f t="shared" ref="E29:E41" si="8">D29*0.0318</f>
        <v>-12659.861116424299</v>
      </c>
      <c r="F29" s="6">
        <f t="shared" si="7"/>
        <v>-47284.664040000003</v>
      </c>
      <c r="G29" s="6">
        <v>6917.0806147980002</v>
      </c>
      <c r="H29" s="6">
        <v>6591.8000297627814</v>
      </c>
      <c r="I29" s="6">
        <v>59654.765342435814</v>
      </c>
      <c r="J29" s="6">
        <v>26572.140897976322</v>
      </c>
      <c r="K29" s="6" t="e">
        <f>J29+#REF!</f>
        <v>#REF!</v>
      </c>
      <c r="L29" s="6">
        <v>3501.9527220565428</v>
      </c>
      <c r="M29" s="77" t="s">
        <v>1</v>
      </c>
      <c r="O29" s="62"/>
      <c r="P29" s="62"/>
      <c r="U29" s="1"/>
      <c r="V29" s="1"/>
      <c r="W29" s="66"/>
      <c r="X29" s="1"/>
    </row>
    <row r="30" spans="3:24" ht="12.75" hidden="1" customHeight="1">
      <c r="C30" s="17" t="s">
        <v>2</v>
      </c>
      <c r="D30" s="6">
        <f>-'import de licitació'!J4-(-'import de licitació'!J4*0.1%)</f>
        <v>-147884.16358654085</v>
      </c>
      <c r="E30" s="6">
        <f t="shared" si="8"/>
        <v>-4702.7164020519995</v>
      </c>
      <c r="F30" s="6">
        <f t="shared" si="7"/>
        <v>-17963.929680000005</v>
      </c>
      <c r="G30" s="6">
        <v>2692.6233444613181</v>
      </c>
      <c r="H30" s="6">
        <v>1899.6801905050174</v>
      </c>
      <c r="I30" s="6">
        <v>22942.754243737698</v>
      </c>
      <c r="J30" s="6">
        <v>11507.242524558</v>
      </c>
      <c r="K30" s="6" t="e">
        <f>J30+#REF!</f>
        <v>#REF!</v>
      </c>
      <c r="L30" s="6">
        <v>2127.0494292791982</v>
      </c>
      <c r="M30" s="77" t="s">
        <v>2</v>
      </c>
      <c r="O30" s="62"/>
      <c r="P30" s="62"/>
      <c r="U30" s="1"/>
      <c r="V30" s="1"/>
      <c r="W30" s="66"/>
      <c r="X30" s="1"/>
    </row>
    <row r="31" spans="3:24" ht="12.75" hidden="1" customHeight="1">
      <c r="C31" s="17" t="s">
        <v>12</v>
      </c>
      <c r="D31" s="6">
        <f>-'import de licitació'!J5-(-'import de licitació'!J5*0.1%)</f>
        <v>-38424.018988962787</v>
      </c>
      <c r="E31" s="6">
        <f t="shared" si="8"/>
        <v>-1221.8838038490167</v>
      </c>
      <c r="F31" s="6">
        <f t="shared" si="7"/>
        <v>-6679.1112000000012</v>
      </c>
      <c r="G31" s="6">
        <v>1401.7061360812827</v>
      </c>
      <c r="H31" s="6">
        <v>849.32585945872393</v>
      </c>
      <c r="I31" s="6">
        <v>8375.1216567014017</v>
      </c>
      <c r="J31" s="6">
        <v>4269.9548502779999</v>
      </c>
      <c r="K31" s="6" t="e">
        <f>J31+#REF!</f>
        <v>#REF!</v>
      </c>
      <c r="L31" s="6">
        <v>544.37615914897083</v>
      </c>
      <c r="M31" s="77" t="s">
        <v>12</v>
      </c>
      <c r="O31" s="62"/>
      <c r="P31" s="62"/>
      <c r="U31" s="1"/>
      <c r="V31" s="1"/>
      <c r="W31" s="66"/>
      <c r="X31" s="1"/>
    </row>
    <row r="32" spans="3:24" ht="12.75" hidden="1" customHeight="1">
      <c r="C32" s="17" t="s">
        <v>3</v>
      </c>
      <c r="D32" s="6">
        <f>-'import de licitació'!J6-(-'import de licitació'!J6*0.1%)</f>
        <v>-84344.211822044264</v>
      </c>
      <c r="E32" s="6">
        <f t="shared" si="8"/>
        <v>-2682.1459359410078</v>
      </c>
      <c r="F32" s="6">
        <f t="shared" si="7"/>
        <v>-9052.8435600000012</v>
      </c>
      <c r="G32" s="6">
        <v>1754.9173886056567</v>
      </c>
      <c r="H32" s="6">
        <v>1161.6677457831649</v>
      </c>
      <c r="I32" s="6">
        <v>12863.191730635868</v>
      </c>
      <c r="J32" s="6">
        <v>5787.6062081460004</v>
      </c>
      <c r="K32" s="6" t="e">
        <f>J32+#REF!</f>
        <v>#REF!</v>
      </c>
      <c r="L32" s="6">
        <v>559.19343616963386</v>
      </c>
      <c r="M32" s="77" t="s">
        <v>3</v>
      </c>
      <c r="O32" s="62"/>
      <c r="P32" s="62"/>
      <c r="U32" s="1"/>
      <c r="V32" s="1"/>
      <c r="W32" s="66"/>
      <c r="X32" s="1"/>
    </row>
    <row r="33" spans="1:25" ht="12.75" hidden="1" customHeight="1">
      <c r="C33" s="17" t="s">
        <v>4</v>
      </c>
      <c r="D33" s="6">
        <f>-'import de licitació'!J7-(-'import de licitació'!J7*0.1%)</f>
        <v>-110772.8354493259</v>
      </c>
      <c r="E33" s="6">
        <f t="shared" si="8"/>
        <v>-3522.5761672885637</v>
      </c>
      <c r="F33" s="6">
        <f t="shared" si="7"/>
        <v>-12462.271080000002</v>
      </c>
      <c r="G33" s="6">
        <v>1898.6972761934182</v>
      </c>
      <c r="H33" s="6">
        <v>1349.5698017184839</v>
      </c>
      <c r="I33" s="6">
        <v>16032.852440864026</v>
      </c>
      <c r="J33" s="6">
        <v>7980.2741682420001</v>
      </c>
      <c r="K33" s="6" t="e">
        <f>J33+#REF!</f>
        <v>#REF!</v>
      </c>
      <c r="L33" s="6">
        <v>617.97532667112819</v>
      </c>
      <c r="M33" s="77" t="s">
        <v>4</v>
      </c>
      <c r="O33" s="62"/>
      <c r="P33" s="62"/>
      <c r="U33" s="1"/>
      <c r="V33" s="1"/>
      <c r="W33" s="66"/>
      <c r="X33" s="1"/>
    </row>
    <row r="34" spans="1:25" ht="12.75" hidden="1" customHeight="1">
      <c r="C34" s="17" t="s">
        <v>5</v>
      </c>
      <c r="D34" s="6">
        <f>-'import de licitació'!J8-(-'import de licitació'!J8*0.1%)</f>
        <v>-169115.17674301707</v>
      </c>
      <c r="E34" s="6">
        <f t="shared" si="8"/>
        <v>-5377.8626204279435</v>
      </c>
      <c r="F34" s="6">
        <f t="shared" si="7"/>
        <v>-24721.067880000002</v>
      </c>
      <c r="G34" s="6">
        <v>4323.2631427129118</v>
      </c>
      <c r="H34" s="6">
        <v>3061.8391618200603</v>
      </c>
      <c r="I34" s="6">
        <v>28308.678692048186</v>
      </c>
      <c r="J34" s="6">
        <v>15773.760480258001</v>
      </c>
      <c r="K34" s="6" t="e">
        <f>J34+#REF!</f>
        <v>#REF!</v>
      </c>
      <c r="L34" s="6">
        <v>2696.8513240109578</v>
      </c>
      <c r="M34" s="77" t="s">
        <v>5</v>
      </c>
      <c r="O34" s="62"/>
      <c r="P34" s="62"/>
      <c r="U34" s="1"/>
      <c r="V34" s="1"/>
      <c r="W34" s="66"/>
      <c r="X34" s="1"/>
    </row>
    <row r="35" spans="1:25" ht="12.75" hidden="1" customHeight="1">
      <c r="C35" s="17" t="s">
        <v>6</v>
      </c>
      <c r="D35" s="6">
        <f>-'import de licitació'!J9-(-'import de licitació'!J9*0.1%)</f>
        <v>-29490.896407881155</v>
      </c>
      <c r="E35" s="6">
        <f t="shared" si="8"/>
        <v>-937.81050577062081</v>
      </c>
      <c r="F35" s="6">
        <f t="shared" si="7"/>
        <v>-3811.94616</v>
      </c>
      <c r="G35" s="6">
        <v>507.51474925301432</v>
      </c>
      <c r="H35" s="6">
        <v>387.94065141469628</v>
      </c>
      <c r="I35" s="6">
        <v>4879.9486259556725</v>
      </c>
      <c r="J35" s="6">
        <v>2441.7738243119998</v>
      </c>
      <c r="K35" s="6" t="e">
        <f>J35+#REF!</f>
        <v>#REF!</v>
      </c>
      <c r="L35" s="6">
        <v>414.34702588844783</v>
      </c>
      <c r="M35" s="77" t="s">
        <v>6</v>
      </c>
      <c r="O35" s="62"/>
      <c r="P35" s="62"/>
      <c r="U35" s="1"/>
      <c r="V35" s="1"/>
      <c r="W35" s="66"/>
      <c r="X35" s="1"/>
    </row>
    <row r="36" spans="1:25" ht="12.75" hidden="1" customHeight="1">
      <c r="C36" s="17" t="s">
        <v>7</v>
      </c>
      <c r="D36" s="6">
        <f>-'import de licitació'!J10-(-'import de licitació'!J10*0.1%)</f>
        <v>-59458.732639502268</v>
      </c>
      <c r="E36" s="6">
        <f t="shared" si="8"/>
        <v>-1890.7876979361722</v>
      </c>
      <c r="F36" s="6">
        <f t="shared" si="7"/>
        <v>-6175.2078000000001</v>
      </c>
      <c r="G36" s="6">
        <v>957.18623746758226</v>
      </c>
      <c r="H36" s="6">
        <v>819.89610556201478</v>
      </c>
      <c r="I36" s="6">
        <v>8285.6999461691903</v>
      </c>
      <c r="J36" s="6">
        <v>3950.3466139319999</v>
      </c>
      <c r="K36" s="6" t="e">
        <f>J36+#REF!</f>
        <v>#REF!</v>
      </c>
      <c r="L36" s="6">
        <v>508.13159673909053</v>
      </c>
      <c r="M36" s="77" t="s">
        <v>7</v>
      </c>
      <c r="O36" s="62"/>
      <c r="P36" s="62"/>
      <c r="U36" s="1"/>
      <c r="V36" s="1"/>
      <c r="W36" s="66"/>
      <c r="X36" s="1"/>
    </row>
    <row r="37" spans="1:25" ht="12.75" hidden="1" customHeight="1">
      <c r="C37" s="17" t="s">
        <v>8</v>
      </c>
      <c r="D37" s="6">
        <f>-'import de licitació'!J11-(-'import de licitació'!J11*0.1%)</f>
        <v>-273510.16110698029</v>
      </c>
      <c r="E37" s="6">
        <f t="shared" si="8"/>
        <v>-8697.6231232019745</v>
      </c>
      <c r="F37" s="6">
        <f t="shared" si="7"/>
        <v>-31518.880800000006</v>
      </c>
      <c r="G37" s="6">
        <v>4819.3202651864121</v>
      </c>
      <c r="H37" s="6">
        <v>3703.5034738555473</v>
      </c>
      <c r="I37" s="6">
        <v>43922.91822005545</v>
      </c>
      <c r="J37" s="6">
        <v>20146.402871646002</v>
      </c>
      <c r="K37" s="6" t="e">
        <f>J37+#REF!</f>
        <v>#REF!</v>
      </c>
      <c r="L37" s="6">
        <v>3473.8779395852184</v>
      </c>
      <c r="M37" s="77" t="s">
        <v>8</v>
      </c>
      <c r="O37" s="62"/>
      <c r="P37" s="62"/>
      <c r="U37" s="1"/>
      <c r="V37" s="1"/>
      <c r="W37" s="66"/>
      <c r="X37" s="1"/>
    </row>
    <row r="38" spans="1:25" ht="12.75" hidden="1" customHeight="1">
      <c r="C38" s="17" t="s">
        <v>9</v>
      </c>
      <c r="D38" s="6">
        <f>-'import de licitació'!J12-(-'import de licitació'!J12*0.1%)</f>
        <v>-299971.56266311265</v>
      </c>
      <c r="E38" s="6">
        <f t="shared" si="8"/>
        <v>-9539.0956926869821</v>
      </c>
      <c r="F38" s="6">
        <f t="shared" si="7"/>
        <v>-35116.177199999998</v>
      </c>
      <c r="G38" s="6">
        <v>7222.4203040169205</v>
      </c>
      <c r="H38" s="6">
        <v>4824.3284855737311</v>
      </c>
      <c r="I38" s="6">
        <v>46515.877744509395</v>
      </c>
      <c r="J38" s="6">
        <v>22503.022353780001</v>
      </c>
      <c r="K38" s="6" t="e">
        <f>J38+#REF!</f>
        <v>#REF!</v>
      </c>
      <c r="M38" s="77" t="s">
        <v>9</v>
      </c>
      <c r="O38" s="62"/>
      <c r="P38" s="62"/>
      <c r="U38" s="1"/>
      <c r="V38" s="1"/>
      <c r="W38" s="66"/>
      <c r="X38" s="1"/>
    </row>
    <row r="39" spans="1:25" ht="12.75" hidden="1" customHeight="1">
      <c r="C39" s="17" t="s">
        <v>10</v>
      </c>
      <c r="D39" s="6">
        <f>-'import de licitació'!J13-(-'import de licitació'!J13*0.1%)</f>
        <v>-54242.156425169393</v>
      </c>
      <c r="E39" s="6">
        <f t="shared" si="8"/>
        <v>-1724.9005743203868</v>
      </c>
      <c r="F39" s="6">
        <f t="shared" si="7"/>
        <v>-5457.2587200000016</v>
      </c>
      <c r="G39" s="6">
        <v>725.8792767857085</v>
      </c>
      <c r="H39" s="6">
        <v>554.97195718427554</v>
      </c>
      <c r="I39" s="6">
        <v>6979.9421059361675</v>
      </c>
      <c r="J39" s="6">
        <v>3495.6744551640004</v>
      </c>
      <c r="K39" s="6" t="e">
        <f>J39+#REF!</f>
        <v>#REF!</v>
      </c>
      <c r="L39" s="6">
        <v>487.91310274826418</v>
      </c>
      <c r="M39" s="77" t="s">
        <v>10</v>
      </c>
      <c r="O39" s="62"/>
      <c r="P39" s="62"/>
      <c r="U39" s="1"/>
      <c r="V39" s="1"/>
      <c r="W39" s="66"/>
      <c r="X39" s="1"/>
    </row>
    <row r="40" spans="1:25" ht="12.75" hidden="1" customHeight="1">
      <c r="C40" s="17" t="s">
        <v>11</v>
      </c>
      <c r="D40" s="6">
        <f>-'import de licitació'!J14-(-'import de licitació'!J14*0.1%)</f>
        <v>-371878.1129567434</v>
      </c>
      <c r="E40" s="6">
        <f t="shared" si="8"/>
        <v>-11825.723992024441</v>
      </c>
      <c r="F40" s="6">
        <f t="shared" si="7"/>
        <v>-28603.59072</v>
      </c>
      <c r="G40" s="6">
        <v>6544.3824228953308</v>
      </c>
      <c r="H40" s="6">
        <v>4042.8944403663609</v>
      </c>
      <c r="I40" s="6">
        <v>43974.571612550149</v>
      </c>
      <c r="J40" s="6">
        <v>18291.851066039999</v>
      </c>
      <c r="K40" s="6" t="e">
        <f>J40+#REF!</f>
        <v>#REF!</v>
      </c>
      <c r="L40" s="6">
        <v>2226.224372015371</v>
      </c>
      <c r="M40" s="77" t="s">
        <v>11</v>
      </c>
      <c r="O40" s="62"/>
      <c r="P40" s="62"/>
      <c r="U40" s="1"/>
      <c r="V40" s="1"/>
      <c r="W40" s="66"/>
      <c r="X40" s="1"/>
    </row>
    <row r="41" spans="1:25" ht="12.75" hidden="1" customHeight="1">
      <c r="C41" s="17" t="s">
        <v>13</v>
      </c>
      <c r="D41" s="6">
        <f>-'import de licitació'!J15-(-'import de licitació'!J15*0.1%)</f>
        <v>-421343.8841350638</v>
      </c>
      <c r="E41" s="6">
        <f t="shared" si="8"/>
        <v>-13398.735515495029</v>
      </c>
      <c r="F41" s="6">
        <f t="shared" si="7"/>
        <v>-45996.86615999999</v>
      </c>
      <c r="G41" s="6">
        <v>6148.9603684813392</v>
      </c>
      <c r="H41" s="6">
        <v>5887.442117008789</v>
      </c>
      <c r="I41" s="6">
        <v>60513.504017068102</v>
      </c>
      <c r="J41" s="6">
        <v>25841.940503516162</v>
      </c>
      <c r="K41" s="6" t="e">
        <f>J41+#REF!</f>
        <v>#REF!</v>
      </c>
      <c r="M41" s="77" t="s">
        <v>13</v>
      </c>
      <c r="O41" s="62"/>
      <c r="P41" s="62"/>
      <c r="U41" s="1"/>
      <c r="V41" s="1"/>
      <c r="W41" s="66"/>
      <c r="X41" s="1"/>
    </row>
    <row r="42" spans="1:25" ht="12.75" hidden="1" customHeight="1">
      <c r="D42" s="6">
        <f>SUM(D28:D41)</f>
        <v>-2514660.0877902019</v>
      </c>
      <c r="E42" s="6">
        <f>D42*0.0312</f>
        <v>-78457.394739054289</v>
      </c>
      <c r="F42" s="6">
        <f>SUM(F28:F41)</f>
        <v>-284864.49540000007</v>
      </c>
      <c r="K42" s="63"/>
      <c r="L42" s="63"/>
      <c r="M42" s="63"/>
      <c r="N42" s="1"/>
      <c r="O42" s="62"/>
      <c r="P42" s="62"/>
      <c r="U42" s="1"/>
      <c r="V42" s="1"/>
      <c r="W42" s="1"/>
      <c r="X42" s="1"/>
    </row>
    <row r="43" spans="1:25" ht="12.75" hidden="1" customHeight="1">
      <c r="C43" s="35"/>
      <c r="D43" s="42"/>
      <c r="E43" s="43"/>
      <c r="F43" s="41"/>
      <c r="G43" s="41"/>
      <c r="I43" s="72"/>
      <c r="J43" s="71"/>
      <c r="K43" s="42"/>
      <c r="L43" s="78"/>
      <c r="U43" s="1"/>
      <c r="V43" s="1"/>
      <c r="W43" s="1"/>
      <c r="X43" s="1"/>
    </row>
    <row r="44" spans="1:25" ht="12.75" hidden="1" customHeight="1">
      <c r="C44" s="1"/>
      <c r="D44" s="1"/>
      <c r="E44" s="1"/>
      <c r="F44" s="1"/>
      <c r="G44" s="1"/>
      <c r="H44" s="70"/>
      <c r="I44" s="72"/>
      <c r="J44" s="71"/>
      <c r="K44" s="1"/>
      <c r="L44" s="78"/>
    </row>
    <row r="45" spans="1:25" ht="12.75" hidden="1" customHeight="1">
      <c r="C45" s="478" t="s">
        <v>121</v>
      </c>
      <c r="D45" s="478"/>
      <c r="E45" s="478"/>
      <c r="F45" s="31"/>
      <c r="H45" s="70"/>
      <c r="I45" s="72"/>
      <c r="J45" s="71"/>
      <c r="N45" s="31"/>
    </row>
    <row r="46" spans="1:25" ht="60">
      <c r="A46" s="518" t="s">
        <v>135</v>
      </c>
      <c r="B46" s="519"/>
      <c r="C46" s="120" t="s">
        <v>32</v>
      </c>
      <c r="D46" s="120" t="s">
        <v>38</v>
      </c>
      <c r="E46" s="120" t="s">
        <v>37</v>
      </c>
      <c r="F46" s="120" t="s">
        <v>39</v>
      </c>
      <c r="G46" s="120" t="s">
        <v>40</v>
      </c>
      <c r="H46" s="120" t="s">
        <v>41</v>
      </c>
      <c r="I46" s="120" t="s">
        <v>42</v>
      </c>
      <c r="J46" s="120" t="s">
        <v>43</v>
      </c>
      <c r="K46" s="120" t="s">
        <v>44</v>
      </c>
      <c r="L46" s="120" t="s">
        <v>45</v>
      </c>
      <c r="M46" s="120" t="s">
        <v>46</v>
      </c>
      <c r="N46" s="120" t="s">
        <v>47</v>
      </c>
      <c r="O46" s="120" t="s">
        <v>48</v>
      </c>
      <c r="P46" s="120" t="s">
        <v>14</v>
      </c>
      <c r="U46" s="67"/>
      <c r="V46" s="68" t="s">
        <v>102</v>
      </c>
      <c r="W46" s="68" t="s">
        <v>103</v>
      </c>
      <c r="X46" s="68" t="s">
        <v>104</v>
      </c>
      <c r="Y46" s="69" t="s">
        <v>105</v>
      </c>
    </row>
    <row r="47" spans="1:25" s="160" customFormat="1" ht="17.25" thickBot="1">
      <c r="A47" s="495" t="s">
        <v>128</v>
      </c>
      <c r="B47" s="157" t="s">
        <v>51</v>
      </c>
      <c r="C47" s="158" t="e">
        <f>#REF!</f>
        <v>#REF!</v>
      </c>
      <c r="D47" s="158" t="e">
        <f>#REF!</f>
        <v>#REF!</v>
      </c>
      <c r="E47" s="158" t="e">
        <f>#REF!</f>
        <v>#REF!</v>
      </c>
      <c r="F47" s="158" t="e">
        <f>#REF!</f>
        <v>#REF!</v>
      </c>
      <c r="G47" s="158" t="e">
        <f>#REF!</f>
        <v>#REF!</v>
      </c>
      <c r="H47" s="158" t="e">
        <f>#REF!</f>
        <v>#REF!</v>
      </c>
      <c r="I47" s="158" t="e">
        <f>#REF!</f>
        <v>#REF!</v>
      </c>
      <c r="J47" s="158" t="e">
        <f>#REF!</f>
        <v>#REF!</v>
      </c>
      <c r="K47" s="158" t="e">
        <f>#REF!</f>
        <v>#REF!</v>
      </c>
      <c r="L47" s="158" t="e">
        <f>#REF!</f>
        <v>#REF!</v>
      </c>
      <c r="M47" s="158" t="e">
        <f>#REF!</f>
        <v>#REF!</v>
      </c>
      <c r="N47" s="158" t="e">
        <f>#REF!</f>
        <v>#REF!</v>
      </c>
      <c r="O47" s="158" t="e">
        <f>#REF!</f>
        <v>#REF!</v>
      </c>
      <c r="P47" s="159" t="e">
        <f>#REF!</f>
        <v>#REF!</v>
      </c>
      <c r="Q47"/>
      <c r="R47"/>
      <c r="S47"/>
      <c r="T47"/>
      <c r="U47" s="162" t="s">
        <v>1</v>
      </c>
      <c r="V47" s="163">
        <v>1631</v>
      </c>
      <c r="W47" s="163">
        <v>359</v>
      </c>
      <c r="X47" s="164">
        <v>186</v>
      </c>
      <c r="Y47" s="165">
        <v>2176</v>
      </c>
    </row>
    <row r="48" spans="1:25" s="160" customFormat="1" ht="17.25" thickBot="1">
      <c r="A48" s="495"/>
      <c r="B48" s="166" t="s">
        <v>70</v>
      </c>
      <c r="C48" s="158" t="e">
        <f>#REF!</f>
        <v>#REF!</v>
      </c>
      <c r="D48" s="158" t="e">
        <f>#REF!</f>
        <v>#REF!</v>
      </c>
      <c r="E48" s="158" t="e">
        <f>#REF!</f>
        <v>#REF!</v>
      </c>
      <c r="F48" s="158" t="e">
        <f>#REF!</f>
        <v>#REF!</v>
      </c>
      <c r="G48" s="158" t="e">
        <f>#REF!</f>
        <v>#REF!</v>
      </c>
      <c r="H48" s="158" t="e">
        <f>#REF!</f>
        <v>#REF!</v>
      </c>
      <c r="I48" s="158" t="e">
        <f>#REF!</f>
        <v>#REF!</v>
      </c>
      <c r="J48" s="158" t="e">
        <f>#REF!</f>
        <v>#REF!</v>
      </c>
      <c r="K48" s="158" t="e">
        <f>#REF!</f>
        <v>#REF!</v>
      </c>
      <c r="L48" s="158" t="e">
        <f>#REF!</f>
        <v>#REF!</v>
      </c>
      <c r="M48" s="158" t="e">
        <f>#REF!</f>
        <v>#REF!</v>
      </c>
      <c r="N48" s="158" t="e">
        <f>#REF!</f>
        <v>#REF!</v>
      </c>
      <c r="O48" s="158" t="e">
        <f>#REF!</f>
        <v>#REF!</v>
      </c>
      <c r="P48" s="159" t="e">
        <f>#REF!</f>
        <v>#REF!</v>
      </c>
      <c r="Q48"/>
      <c r="R48"/>
      <c r="S48"/>
      <c r="T48"/>
      <c r="U48" s="162" t="s">
        <v>2</v>
      </c>
      <c r="V48" s="163">
        <v>707</v>
      </c>
      <c r="W48" s="163" t="s">
        <v>106</v>
      </c>
      <c r="X48" s="164">
        <v>69</v>
      </c>
      <c r="Y48" s="165">
        <v>776</v>
      </c>
    </row>
    <row r="49" spans="1:74" s="160" customFormat="1" ht="17.25" thickBot="1">
      <c r="A49" s="495"/>
      <c r="B49" s="166" t="s">
        <v>197</v>
      </c>
      <c r="C49" s="158" t="e">
        <f>#REF!</f>
        <v>#REF!</v>
      </c>
      <c r="D49" s="158" t="e">
        <f>#REF!</f>
        <v>#REF!</v>
      </c>
      <c r="E49" s="158" t="e">
        <f>#REF!</f>
        <v>#REF!</v>
      </c>
      <c r="F49" s="158" t="e">
        <f>#REF!</f>
        <v>#REF!</v>
      </c>
      <c r="G49" s="158" t="e">
        <f>#REF!</f>
        <v>#REF!</v>
      </c>
      <c r="H49" s="158" t="e">
        <f>#REF!</f>
        <v>#REF!</v>
      </c>
      <c r="I49" s="158" t="e">
        <f>#REF!</f>
        <v>#REF!</v>
      </c>
      <c r="J49" s="158" t="e">
        <f>#REF!</f>
        <v>#REF!</v>
      </c>
      <c r="K49" s="158" t="e">
        <f>#REF!</f>
        <v>#REF!</v>
      </c>
      <c r="L49" s="158" t="e">
        <f>#REF!</f>
        <v>#REF!</v>
      </c>
      <c r="M49" s="158" t="e">
        <f>#REF!</f>
        <v>#REF!</v>
      </c>
      <c r="N49" s="158" t="e">
        <f>#REF!</f>
        <v>#REF!</v>
      </c>
      <c r="O49" s="158" t="e">
        <f>#REF!</f>
        <v>#REF!</v>
      </c>
      <c r="P49" s="159" t="e">
        <f>#REF!</f>
        <v>#REF!</v>
      </c>
      <c r="Q49"/>
      <c r="R49"/>
      <c r="S49"/>
      <c r="T49"/>
      <c r="U49" s="162"/>
      <c r="V49" s="163"/>
      <c r="W49" s="163"/>
      <c r="X49" s="164"/>
      <c r="Y49" s="165"/>
    </row>
    <row r="50" spans="1:74" s="205" customFormat="1" ht="26.25" thickBot="1">
      <c r="A50" s="495"/>
      <c r="B50" s="202" t="s">
        <v>113</v>
      </c>
      <c r="C50" s="203" t="e">
        <f>#REF!</f>
        <v>#REF!</v>
      </c>
      <c r="D50" s="203" t="e">
        <f>#REF!</f>
        <v>#REF!</v>
      </c>
      <c r="E50" s="203" t="e">
        <f>#REF!</f>
        <v>#REF!</v>
      </c>
      <c r="F50" s="203" t="e">
        <f>#REF!</f>
        <v>#REF!</v>
      </c>
      <c r="G50" s="203" t="e">
        <f>#REF!</f>
        <v>#REF!</v>
      </c>
      <c r="H50" s="203" t="e">
        <f>#REF!</f>
        <v>#REF!</v>
      </c>
      <c r="I50" s="203" t="e">
        <f>#REF!</f>
        <v>#REF!</v>
      </c>
      <c r="J50" s="203" t="e">
        <f>#REF!</f>
        <v>#REF!</v>
      </c>
      <c r="K50" s="203" t="e">
        <f>#REF!</f>
        <v>#REF!</v>
      </c>
      <c r="L50" s="203" t="e">
        <f>#REF!</f>
        <v>#REF!</v>
      </c>
      <c r="M50" s="203" t="e">
        <f>#REF!</f>
        <v>#REF!</v>
      </c>
      <c r="N50" s="203" t="e">
        <f>#REF!</f>
        <v>#REF!</v>
      </c>
      <c r="O50" s="203" t="e">
        <f>#REF!</f>
        <v>#REF!</v>
      </c>
      <c r="P50" s="204" t="e">
        <f>#REF!</f>
        <v>#REF!</v>
      </c>
      <c r="Q50"/>
      <c r="R50"/>
      <c r="S50"/>
      <c r="T50"/>
      <c r="U50" s="162" t="s">
        <v>12</v>
      </c>
      <c r="V50" s="163" t="s">
        <v>106</v>
      </c>
      <c r="W50" s="163">
        <v>150</v>
      </c>
      <c r="X50" s="164">
        <v>56</v>
      </c>
      <c r="Y50" s="165">
        <v>206</v>
      </c>
    </row>
    <row r="51" spans="1:74" s="160" customFormat="1" ht="17.25" thickBot="1">
      <c r="A51" s="495"/>
      <c r="B51" s="166" t="s">
        <v>54</v>
      </c>
      <c r="C51" s="158" t="e">
        <f>#REF!</f>
        <v>#REF!</v>
      </c>
      <c r="D51" s="158" t="e">
        <f>#REF!</f>
        <v>#REF!</v>
      </c>
      <c r="E51" s="158" t="e">
        <f>#REF!</f>
        <v>#REF!</v>
      </c>
      <c r="F51" s="158" t="e">
        <f>#REF!</f>
        <v>#REF!</v>
      </c>
      <c r="G51" s="158" t="e">
        <f>#REF!</f>
        <v>#REF!</v>
      </c>
      <c r="H51" s="158" t="e">
        <f>#REF!</f>
        <v>#REF!</v>
      </c>
      <c r="I51" s="158" t="e">
        <f>#REF!</f>
        <v>#REF!</v>
      </c>
      <c r="J51" s="158" t="e">
        <f>#REF!</f>
        <v>#REF!</v>
      </c>
      <c r="K51" s="158" t="e">
        <f>#REF!</f>
        <v>#REF!</v>
      </c>
      <c r="L51" s="158" t="e">
        <f>#REF!</f>
        <v>#REF!</v>
      </c>
      <c r="M51" s="158" t="e">
        <f>#REF!</f>
        <v>#REF!</v>
      </c>
      <c r="N51" s="158" t="e">
        <f>#REF!</f>
        <v>#REF!</v>
      </c>
      <c r="O51" s="158" t="e">
        <f>#REF!</f>
        <v>#REF!</v>
      </c>
      <c r="P51" s="159" t="e">
        <f>#REF!</f>
        <v>#REF!</v>
      </c>
      <c r="Q51"/>
      <c r="R51"/>
      <c r="S51"/>
      <c r="T51"/>
      <c r="U51" s="162" t="s">
        <v>107</v>
      </c>
      <c r="V51" s="163">
        <v>414</v>
      </c>
      <c r="W51" s="163" t="s">
        <v>106</v>
      </c>
      <c r="X51" s="164">
        <v>28</v>
      </c>
      <c r="Y51" s="165">
        <v>442</v>
      </c>
    </row>
    <row r="52" spans="1:74" s="160" customFormat="1" ht="17.25" thickBot="1">
      <c r="A52" s="495"/>
      <c r="B52" s="166" t="s">
        <v>69</v>
      </c>
      <c r="C52" s="182" t="e">
        <f>#REF!</f>
        <v>#REF!</v>
      </c>
      <c r="D52" s="182" t="e">
        <f>#REF!</f>
        <v>#REF!</v>
      </c>
      <c r="E52" s="182" t="e">
        <f>#REF!</f>
        <v>#REF!</v>
      </c>
      <c r="F52" s="182" t="e">
        <f>#REF!</f>
        <v>#REF!</v>
      </c>
      <c r="G52" s="182" t="e">
        <f>#REF!</f>
        <v>#REF!</v>
      </c>
      <c r="H52" s="182" t="e">
        <f>#REF!</f>
        <v>#REF!</v>
      </c>
      <c r="I52" s="182" t="e">
        <f>#REF!</f>
        <v>#REF!</v>
      </c>
      <c r="J52" s="182" t="e">
        <f>#REF!</f>
        <v>#REF!</v>
      </c>
      <c r="K52" s="182" t="e">
        <f>#REF!</f>
        <v>#REF!</v>
      </c>
      <c r="L52" s="182" t="e">
        <f>#REF!</f>
        <v>#REF!</v>
      </c>
      <c r="M52" s="182" t="e">
        <f>#REF!</f>
        <v>#REF!</v>
      </c>
      <c r="N52" s="182" t="e">
        <f>#REF!</f>
        <v>#REF!</v>
      </c>
      <c r="O52" s="182" t="e">
        <f>#REF!</f>
        <v>#REF!</v>
      </c>
      <c r="P52" s="183" t="e">
        <f>#REF!</f>
        <v>#REF!</v>
      </c>
      <c r="Q52"/>
      <c r="R52"/>
      <c r="S52"/>
      <c r="T52"/>
      <c r="U52" s="162" t="s">
        <v>4</v>
      </c>
      <c r="V52" s="163">
        <v>508</v>
      </c>
      <c r="W52" s="163" t="s">
        <v>106</v>
      </c>
      <c r="X52" s="164">
        <v>21</v>
      </c>
      <c r="Y52" s="165">
        <v>529</v>
      </c>
    </row>
    <row r="53" spans="1:74" s="169" customFormat="1" ht="17.25" thickBot="1">
      <c r="A53" s="495"/>
      <c r="B53" s="167" t="s">
        <v>162</v>
      </c>
      <c r="C53" s="168" t="e">
        <f>SUM(C47:C52)</f>
        <v>#REF!</v>
      </c>
      <c r="D53" s="168" t="e">
        <f t="shared" ref="D53:O53" si="9">SUM(D47:D52)</f>
        <v>#REF!</v>
      </c>
      <c r="E53" s="168" t="e">
        <f t="shared" si="9"/>
        <v>#REF!</v>
      </c>
      <c r="F53" s="168" t="e">
        <f t="shared" si="9"/>
        <v>#REF!</v>
      </c>
      <c r="G53" s="168" t="e">
        <f t="shared" si="9"/>
        <v>#REF!</v>
      </c>
      <c r="H53" s="168" t="e">
        <f t="shared" si="9"/>
        <v>#REF!</v>
      </c>
      <c r="I53" s="168" t="e">
        <f t="shared" si="9"/>
        <v>#REF!</v>
      </c>
      <c r="J53" s="168" t="e">
        <f t="shared" si="9"/>
        <v>#REF!</v>
      </c>
      <c r="K53" s="168" t="e">
        <f t="shared" si="9"/>
        <v>#REF!</v>
      </c>
      <c r="L53" s="168" t="e">
        <f t="shared" si="9"/>
        <v>#REF!</v>
      </c>
      <c r="M53" s="168" t="e">
        <f t="shared" si="9"/>
        <v>#REF!</v>
      </c>
      <c r="N53" s="168" t="e">
        <f t="shared" si="9"/>
        <v>#REF!</v>
      </c>
      <c r="O53" s="168" t="e">
        <f t="shared" si="9"/>
        <v>#REF!</v>
      </c>
      <c r="P53" s="168" t="e">
        <f t="shared" ref="P53" si="10">SUM(P47:P52)</f>
        <v>#REF!</v>
      </c>
      <c r="Q53"/>
      <c r="R53"/>
      <c r="S53"/>
      <c r="T53"/>
      <c r="U53" s="170"/>
      <c r="V53" s="171"/>
      <c r="W53" s="171"/>
      <c r="X53" s="172"/>
      <c r="Y53" s="173"/>
    </row>
    <row r="54" spans="1:74" s="160" customFormat="1" ht="17.25" customHeight="1" thickBot="1">
      <c r="A54" s="516" t="s">
        <v>129</v>
      </c>
      <c r="B54" s="174" t="s">
        <v>71</v>
      </c>
      <c r="C54" s="158" t="e">
        <f>#REF!</f>
        <v>#REF!</v>
      </c>
      <c r="D54" s="158" t="e">
        <f>#REF!</f>
        <v>#REF!</v>
      </c>
      <c r="E54" s="158" t="e">
        <f>#REF!</f>
        <v>#REF!</v>
      </c>
      <c r="F54" s="158" t="e">
        <f>#REF!</f>
        <v>#REF!</v>
      </c>
      <c r="G54" s="158" t="e">
        <f>#REF!</f>
        <v>#REF!</v>
      </c>
      <c r="H54" s="158" t="e">
        <f>#REF!</f>
        <v>#REF!</v>
      </c>
      <c r="I54" s="158" t="e">
        <f>#REF!</f>
        <v>#REF!</v>
      </c>
      <c r="J54" s="158" t="e">
        <f>#REF!</f>
        <v>#REF!</v>
      </c>
      <c r="K54" s="158" t="e">
        <f>#REF!</f>
        <v>#REF!</v>
      </c>
      <c r="L54" s="158" t="e">
        <f>#REF!</f>
        <v>#REF!</v>
      </c>
      <c r="M54" s="158" t="e">
        <f>#REF!</f>
        <v>#REF!</v>
      </c>
      <c r="N54" s="158" t="e">
        <f>#REF!</f>
        <v>#REF!</v>
      </c>
      <c r="O54" s="158" t="e">
        <f>#REF!</f>
        <v>#REF!</v>
      </c>
      <c r="P54" s="159" t="e">
        <f>#REF!</f>
        <v>#REF!</v>
      </c>
      <c r="Q54"/>
      <c r="R54"/>
      <c r="S54"/>
      <c r="T54"/>
      <c r="U54" s="162" t="s">
        <v>108</v>
      </c>
      <c r="V54" s="175">
        <v>2204</v>
      </c>
      <c r="W54" s="175" t="s">
        <v>106</v>
      </c>
      <c r="X54" s="165">
        <v>25</v>
      </c>
      <c r="Y54" s="165">
        <v>2229</v>
      </c>
    </row>
    <row r="55" spans="1:74" s="160" customFormat="1">
      <c r="A55" s="516"/>
      <c r="B55" s="174" t="s">
        <v>52</v>
      </c>
      <c r="C55" s="158" t="e">
        <f>#REF!</f>
        <v>#REF!</v>
      </c>
      <c r="D55" s="158" t="e">
        <f>#REF!</f>
        <v>#REF!</v>
      </c>
      <c r="E55" s="158" t="e">
        <f>#REF!</f>
        <v>#REF!</v>
      </c>
      <c r="F55" s="158" t="e">
        <f>#REF!</f>
        <v>#REF!</v>
      </c>
      <c r="G55" s="158" t="e">
        <f>#REF!</f>
        <v>#REF!</v>
      </c>
      <c r="H55" s="158" t="e">
        <f>#REF!</f>
        <v>#REF!</v>
      </c>
      <c r="I55" s="158" t="e">
        <f>#REF!</f>
        <v>#REF!</v>
      </c>
      <c r="J55" s="158" t="e">
        <f>#REF!</f>
        <v>#REF!</v>
      </c>
      <c r="K55" s="158" t="e">
        <f>#REF!</f>
        <v>#REF!</v>
      </c>
      <c r="L55" s="158" t="e">
        <f>#REF!</f>
        <v>#REF!</v>
      </c>
      <c r="M55" s="158" t="e">
        <f>#REF!</f>
        <v>#REF!</v>
      </c>
      <c r="N55" s="158" t="e">
        <f>#REF!</f>
        <v>#REF!</v>
      </c>
      <c r="O55" s="158" t="e">
        <f>#REF!</f>
        <v>#REF!</v>
      </c>
      <c r="P55" s="158" t="e">
        <f>#REF!</f>
        <v>#REF!</v>
      </c>
      <c r="Q55"/>
      <c r="R55"/>
      <c r="S55"/>
      <c r="T55"/>
      <c r="U55"/>
      <c r="V55"/>
      <c r="W55"/>
      <c r="X55"/>
      <c r="Y55">
        <v>12902</v>
      </c>
    </row>
    <row r="56" spans="1:74" s="160" customFormat="1" ht="25.5">
      <c r="A56" s="516"/>
      <c r="B56" s="174" t="s">
        <v>122</v>
      </c>
      <c r="C56" s="158" t="e">
        <f>#REF!</f>
        <v>#REF!</v>
      </c>
      <c r="D56" s="158" t="e">
        <f>#REF!</f>
        <v>#REF!</v>
      </c>
      <c r="E56" s="158" t="e">
        <f>#REF!</f>
        <v>#REF!</v>
      </c>
      <c r="F56" s="158" t="e">
        <f>#REF!</f>
        <v>#REF!</v>
      </c>
      <c r="G56" s="158" t="e">
        <f>#REF!</f>
        <v>#REF!</v>
      </c>
      <c r="H56" s="158" t="e">
        <f>#REF!</f>
        <v>#REF!</v>
      </c>
      <c r="I56" s="158" t="e">
        <f>#REF!</f>
        <v>#REF!</v>
      </c>
      <c r="J56" s="158" t="e">
        <f>#REF!</f>
        <v>#REF!</v>
      </c>
      <c r="K56" s="158" t="e">
        <f>#REF!</f>
        <v>#REF!</v>
      </c>
      <c r="L56" s="158" t="e">
        <f>#REF!</f>
        <v>#REF!</v>
      </c>
      <c r="M56" s="158" t="e">
        <f>#REF!</f>
        <v>#REF!</v>
      </c>
      <c r="N56" s="158" t="e">
        <f>#REF!</f>
        <v>#REF!</v>
      </c>
      <c r="O56" s="158" t="e">
        <f>#REF!</f>
        <v>#REF!</v>
      </c>
      <c r="P56" s="159" t="e">
        <f>#REF!</f>
        <v>#REF!</v>
      </c>
      <c r="Q56"/>
      <c r="R56"/>
      <c r="S56"/>
      <c r="T56"/>
    </row>
    <row r="57" spans="1:74" s="160" customFormat="1">
      <c r="A57" s="516"/>
      <c r="B57" s="174" t="s">
        <v>123</v>
      </c>
      <c r="C57" s="158" t="e">
        <f>#REF!</f>
        <v>#REF!</v>
      </c>
      <c r="D57" s="158" t="e">
        <f>#REF!</f>
        <v>#REF!</v>
      </c>
      <c r="E57" s="158" t="e">
        <f>#REF!</f>
        <v>#REF!</v>
      </c>
      <c r="F57" s="158" t="e">
        <f>#REF!</f>
        <v>#REF!</v>
      </c>
      <c r="G57" s="158" t="e">
        <f>#REF!</f>
        <v>#REF!</v>
      </c>
      <c r="H57" s="158" t="e">
        <f>#REF!</f>
        <v>#REF!</v>
      </c>
      <c r="I57" s="158" t="e">
        <f>#REF!</f>
        <v>#REF!</v>
      </c>
      <c r="J57" s="158" t="e">
        <f>#REF!</f>
        <v>#REF!</v>
      </c>
      <c r="K57" s="158" t="e">
        <f>#REF!</f>
        <v>#REF!</v>
      </c>
      <c r="L57" s="158" t="e">
        <f>#REF!</f>
        <v>#REF!</v>
      </c>
      <c r="M57" s="158" t="e">
        <f>#REF!</f>
        <v>#REF!</v>
      </c>
      <c r="N57" s="158" t="e">
        <f>#REF!</f>
        <v>#REF!</v>
      </c>
      <c r="O57" s="158" t="e">
        <f>#REF!</f>
        <v>#REF!</v>
      </c>
      <c r="P57" s="159" t="e">
        <f>#REF!</f>
        <v>#REF!</v>
      </c>
      <c r="Q57"/>
      <c r="R57"/>
      <c r="S57"/>
      <c r="T57"/>
    </row>
    <row r="58" spans="1:74" s="160" customFormat="1">
      <c r="A58" s="516"/>
      <c r="B58" s="174" t="s">
        <v>73</v>
      </c>
      <c r="C58" s="158" t="e">
        <f>#REF!</f>
        <v>#REF!</v>
      </c>
      <c r="D58" s="158" t="e">
        <f>#REF!</f>
        <v>#REF!</v>
      </c>
      <c r="E58" s="158" t="e">
        <f>#REF!</f>
        <v>#REF!</v>
      </c>
      <c r="F58" s="158" t="e">
        <f>#REF!</f>
        <v>#REF!</v>
      </c>
      <c r="G58" s="158" t="e">
        <f>#REF!</f>
        <v>#REF!</v>
      </c>
      <c r="H58" s="158" t="e">
        <f>#REF!</f>
        <v>#REF!</v>
      </c>
      <c r="I58" s="158" t="e">
        <f>#REF!</f>
        <v>#REF!</v>
      </c>
      <c r="J58" s="158" t="e">
        <f>#REF!</f>
        <v>#REF!</v>
      </c>
      <c r="K58" s="158" t="e">
        <f>#REF!</f>
        <v>#REF!</v>
      </c>
      <c r="L58" s="158" t="e">
        <f>#REF!</f>
        <v>#REF!</v>
      </c>
      <c r="M58" s="158" t="e">
        <f>#REF!</f>
        <v>#REF!</v>
      </c>
      <c r="N58" s="158" t="e">
        <f>#REF!</f>
        <v>#REF!</v>
      </c>
      <c r="O58" s="158" t="e">
        <f>#REF!</f>
        <v>#REF!</v>
      </c>
      <c r="P58" s="159" t="e">
        <f>#REF!</f>
        <v>#REF!</v>
      </c>
      <c r="Q58"/>
      <c r="R58"/>
      <c r="S58"/>
      <c r="T58"/>
    </row>
    <row r="59" spans="1:74" s="160" customFormat="1">
      <c r="A59" s="516"/>
      <c r="B59" s="174" t="s">
        <v>342</v>
      </c>
      <c r="C59" s="158" t="e">
        <f>#REF!</f>
        <v>#REF!</v>
      </c>
      <c r="D59" s="158" t="e">
        <f>#REF!</f>
        <v>#REF!</v>
      </c>
      <c r="E59" s="158" t="e">
        <f>#REF!</f>
        <v>#REF!</v>
      </c>
      <c r="F59" s="158" t="e">
        <f>#REF!</f>
        <v>#REF!</v>
      </c>
      <c r="G59" s="158" t="e">
        <f>#REF!</f>
        <v>#REF!</v>
      </c>
      <c r="H59" s="158" t="e">
        <f>#REF!</f>
        <v>#REF!</v>
      </c>
      <c r="I59" s="158" t="e">
        <f>#REF!</f>
        <v>#REF!</v>
      </c>
      <c r="J59" s="158" t="e">
        <f>#REF!</f>
        <v>#REF!</v>
      </c>
      <c r="K59" s="158" t="e">
        <f>#REF!</f>
        <v>#REF!</v>
      </c>
      <c r="L59" s="158" t="e">
        <f>#REF!</f>
        <v>#REF!</v>
      </c>
      <c r="M59" s="158" t="e">
        <f>#REF!</f>
        <v>#REF!</v>
      </c>
      <c r="N59" s="158" t="e">
        <f>#REF!</f>
        <v>#REF!</v>
      </c>
      <c r="O59" s="158" t="e">
        <f>#REF!</f>
        <v>#REF!</v>
      </c>
      <c r="P59" s="159" t="e">
        <f>#REF!</f>
        <v>#REF!</v>
      </c>
      <c r="Q59"/>
      <c r="R59"/>
      <c r="S59"/>
      <c r="T59"/>
    </row>
    <row r="60" spans="1:74" s="160" customFormat="1" ht="25.5">
      <c r="A60" s="516"/>
      <c r="B60" s="174" t="s">
        <v>72</v>
      </c>
      <c r="C60" s="158" t="e">
        <f>#REF!</f>
        <v>#REF!</v>
      </c>
      <c r="D60" s="158" t="e">
        <f>#REF!</f>
        <v>#REF!</v>
      </c>
      <c r="E60" s="158" t="e">
        <f>#REF!</f>
        <v>#REF!</v>
      </c>
      <c r="F60" s="158" t="e">
        <f>#REF!</f>
        <v>#REF!</v>
      </c>
      <c r="G60" s="158" t="e">
        <f>#REF!</f>
        <v>#REF!</v>
      </c>
      <c r="H60" s="158" t="e">
        <f>#REF!</f>
        <v>#REF!</v>
      </c>
      <c r="I60" s="158" t="e">
        <f>#REF!</f>
        <v>#REF!</v>
      </c>
      <c r="J60" s="158" t="e">
        <f>#REF!</f>
        <v>#REF!</v>
      </c>
      <c r="K60" s="158" t="e">
        <f>#REF!</f>
        <v>#REF!</v>
      </c>
      <c r="L60" s="158" t="e">
        <f>#REF!</f>
        <v>#REF!</v>
      </c>
      <c r="M60" s="158" t="e">
        <f>#REF!</f>
        <v>#REF!</v>
      </c>
      <c r="N60" s="158" t="e">
        <f>#REF!</f>
        <v>#REF!</v>
      </c>
      <c r="O60" s="158" t="e">
        <f>#REF!</f>
        <v>#REF!</v>
      </c>
      <c r="P60" s="159" t="e">
        <f>#REF!</f>
        <v>#REF!</v>
      </c>
      <c r="Q60"/>
      <c r="R60"/>
      <c r="S60"/>
      <c r="T60"/>
    </row>
    <row r="61" spans="1:74" s="176" customFormat="1" ht="25.5">
      <c r="A61" s="516"/>
      <c r="B61" s="174" t="s">
        <v>200</v>
      </c>
      <c r="C61" s="158" t="e">
        <f>#REF!</f>
        <v>#REF!</v>
      </c>
      <c r="D61" s="158" t="e">
        <f>#REF!</f>
        <v>#REF!</v>
      </c>
      <c r="E61" s="158" t="e">
        <f>#REF!</f>
        <v>#REF!</v>
      </c>
      <c r="F61" s="158" t="e">
        <f>#REF!</f>
        <v>#REF!</v>
      </c>
      <c r="G61" s="158" t="e">
        <f>#REF!</f>
        <v>#REF!</v>
      </c>
      <c r="H61" s="158" t="e">
        <f>#REF!</f>
        <v>#REF!</v>
      </c>
      <c r="I61" s="158" t="e">
        <f>#REF!</f>
        <v>#REF!</v>
      </c>
      <c r="J61" s="158" t="e">
        <f>#REF!</f>
        <v>#REF!</v>
      </c>
      <c r="K61" s="158" t="e">
        <f>#REF!</f>
        <v>#REF!</v>
      </c>
      <c r="L61" s="158" t="e">
        <f>#REF!</f>
        <v>#REF!</v>
      </c>
      <c r="M61" s="158" t="e">
        <f>#REF!</f>
        <v>#REF!</v>
      </c>
      <c r="N61" s="158" t="e">
        <f>#REF!</f>
        <v>#REF!</v>
      </c>
      <c r="O61" s="158" t="e">
        <f>#REF!</f>
        <v>#REF!</v>
      </c>
      <c r="P61" s="159" t="e">
        <f>#REF!</f>
        <v>#REF!</v>
      </c>
      <c r="Q61"/>
      <c r="R61"/>
      <c r="S61"/>
      <c r="T61"/>
      <c r="U61" s="161"/>
      <c r="V61" s="161"/>
      <c r="W61" s="161"/>
      <c r="X61" s="161"/>
      <c r="Y61" s="161"/>
      <c r="Z61" s="161"/>
      <c r="AA61" s="161"/>
      <c r="AB61" s="161"/>
      <c r="AC61" s="161"/>
      <c r="AD61" s="161"/>
      <c r="AE61" s="161"/>
      <c r="AF61" s="161"/>
      <c r="AG61" s="161"/>
      <c r="AH61" s="161"/>
      <c r="AI61" s="161"/>
      <c r="AJ61" s="161"/>
      <c r="AK61" s="161"/>
      <c r="AL61" s="161"/>
      <c r="AM61" s="161"/>
      <c r="AN61" s="161"/>
      <c r="AO61" s="161"/>
      <c r="AP61" s="161"/>
      <c r="AQ61" s="161"/>
      <c r="AR61" s="161"/>
      <c r="AS61" s="161"/>
      <c r="AT61" s="161"/>
      <c r="AU61" s="161"/>
      <c r="AV61" s="161"/>
      <c r="AW61" s="161"/>
      <c r="AX61" s="161"/>
      <c r="AY61" s="161"/>
      <c r="AZ61" s="161"/>
      <c r="BA61" s="161"/>
      <c r="BB61" s="161"/>
      <c r="BC61" s="161"/>
      <c r="BD61" s="161"/>
      <c r="BE61" s="161"/>
      <c r="BF61" s="161"/>
      <c r="BG61" s="161"/>
      <c r="BH61" s="161"/>
      <c r="BI61" s="161"/>
      <c r="BJ61" s="161"/>
      <c r="BK61" s="161"/>
      <c r="BL61" s="161"/>
      <c r="BM61" s="161"/>
      <c r="BN61" s="161"/>
      <c r="BO61" s="161"/>
      <c r="BP61" s="161"/>
      <c r="BQ61" s="161"/>
      <c r="BR61" s="161"/>
      <c r="BS61" s="161"/>
      <c r="BT61" s="161"/>
      <c r="BU61" s="161"/>
      <c r="BV61" s="161"/>
    </row>
    <row r="62" spans="1:74" s="176" customFormat="1">
      <c r="A62" s="517"/>
      <c r="B62" s="177" t="s">
        <v>161</v>
      </c>
      <c r="C62" s="178" t="e">
        <f>SUM(C54:C61)</f>
        <v>#REF!</v>
      </c>
      <c r="D62" s="178" t="e">
        <f t="shared" ref="D62:O62" si="11">SUM(D54:D61)</f>
        <v>#REF!</v>
      </c>
      <c r="E62" s="178" t="e">
        <f t="shared" si="11"/>
        <v>#REF!</v>
      </c>
      <c r="F62" s="178" t="e">
        <f t="shared" si="11"/>
        <v>#REF!</v>
      </c>
      <c r="G62" s="178" t="e">
        <f t="shared" si="11"/>
        <v>#REF!</v>
      </c>
      <c r="H62" s="178" t="e">
        <f t="shared" si="11"/>
        <v>#REF!</v>
      </c>
      <c r="I62" s="178" t="e">
        <f t="shared" si="11"/>
        <v>#REF!</v>
      </c>
      <c r="J62" s="178" t="e">
        <f t="shared" si="11"/>
        <v>#REF!</v>
      </c>
      <c r="K62" s="178" t="e">
        <f t="shared" si="11"/>
        <v>#REF!</v>
      </c>
      <c r="L62" s="178" t="e">
        <f>SUM(L54:L61)</f>
        <v>#REF!</v>
      </c>
      <c r="M62" s="178" t="e">
        <f t="shared" si="11"/>
        <v>#REF!</v>
      </c>
      <c r="N62" s="178" t="e">
        <f t="shared" si="11"/>
        <v>#REF!</v>
      </c>
      <c r="O62" s="178" t="e">
        <f t="shared" si="11"/>
        <v>#REF!</v>
      </c>
      <c r="P62" s="178" t="e">
        <f>SUM(P54:P61)</f>
        <v>#REF!</v>
      </c>
      <c r="Q62"/>
      <c r="R62"/>
      <c r="S62"/>
      <c r="T62"/>
      <c r="U62" s="161"/>
      <c r="V62" s="161"/>
      <c r="W62" s="161"/>
      <c r="X62" s="161"/>
      <c r="Y62" s="161"/>
      <c r="Z62" s="161"/>
      <c r="AA62" s="161"/>
      <c r="AB62" s="161"/>
      <c r="AC62" s="161"/>
      <c r="AD62" s="161"/>
      <c r="AE62" s="161"/>
      <c r="AF62" s="161"/>
      <c r="AG62" s="161"/>
      <c r="AH62" s="161"/>
      <c r="AI62" s="161"/>
      <c r="AJ62" s="161"/>
      <c r="AK62" s="161"/>
      <c r="AL62" s="161"/>
      <c r="AM62" s="161"/>
      <c r="AN62" s="161"/>
      <c r="AO62" s="161"/>
      <c r="AP62" s="161"/>
      <c r="AQ62" s="161"/>
      <c r="AR62" s="161"/>
      <c r="AS62" s="161"/>
      <c r="AT62" s="161"/>
      <c r="AU62" s="161"/>
      <c r="AV62" s="161"/>
      <c r="AW62" s="161"/>
      <c r="AX62" s="161"/>
      <c r="AY62" s="161"/>
      <c r="AZ62" s="161"/>
      <c r="BA62" s="161"/>
      <c r="BB62" s="161"/>
      <c r="BC62" s="161"/>
      <c r="BD62" s="161"/>
      <c r="BE62" s="161"/>
      <c r="BF62" s="161"/>
      <c r="BG62" s="161"/>
      <c r="BH62" s="161"/>
      <c r="BI62" s="161"/>
      <c r="BJ62" s="161"/>
      <c r="BK62" s="161"/>
      <c r="BL62" s="161"/>
      <c r="BM62" s="161"/>
      <c r="BN62" s="161"/>
      <c r="BO62" s="161"/>
      <c r="BP62" s="161"/>
      <c r="BQ62" s="161"/>
      <c r="BR62" s="161"/>
      <c r="BS62" s="161"/>
      <c r="BT62" s="161"/>
      <c r="BU62" s="161"/>
      <c r="BV62" s="161"/>
    </row>
    <row r="63" spans="1:74" s="160" customFormat="1" ht="12.75" customHeight="1">
      <c r="A63" s="179"/>
      <c r="B63" s="180" t="s">
        <v>160</v>
      </c>
      <c r="C63" s="181" t="e">
        <f>C53+C62</f>
        <v>#REF!</v>
      </c>
      <c r="D63" s="181" t="e">
        <f t="shared" ref="D63:O63" si="12">D53+D62</f>
        <v>#REF!</v>
      </c>
      <c r="E63" s="181" t="e">
        <f t="shared" si="12"/>
        <v>#REF!</v>
      </c>
      <c r="F63" s="181" t="e">
        <f t="shared" si="12"/>
        <v>#REF!</v>
      </c>
      <c r="G63" s="181" t="e">
        <f t="shared" si="12"/>
        <v>#REF!</v>
      </c>
      <c r="H63" s="181" t="e">
        <f t="shared" si="12"/>
        <v>#REF!</v>
      </c>
      <c r="I63" s="181" t="e">
        <f t="shared" si="12"/>
        <v>#REF!</v>
      </c>
      <c r="J63" s="181" t="e">
        <f t="shared" si="12"/>
        <v>#REF!</v>
      </c>
      <c r="K63" s="181" t="e">
        <f t="shared" si="12"/>
        <v>#REF!</v>
      </c>
      <c r="L63" s="181" t="e">
        <f t="shared" si="12"/>
        <v>#REF!</v>
      </c>
      <c r="M63" s="181" t="e">
        <f t="shared" si="12"/>
        <v>#REF!</v>
      </c>
      <c r="N63" s="181" t="e">
        <f t="shared" si="12"/>
        <v>#REF!</v>
      </c>
      <c r="O63" s="181" t="e">
        <f t="shared" si="12"/>
        <v>#REF!</v>
      </c>
      <c r="P63" s="181" t="e">
        <f t="shared" ref="P63" si="13">P53+P62</f>
        <v>#REF!</v>
      </c>
      <c r="Q63"/>
      <c r="R63"/>
      <c r="S63"/>
      <c r="T63"/>
    </row>
    <row r="64" spans="1:74" ht="12.75" customHeight="1">
      <c r="A64" s="124"/>
      <c r="B64" s="85"/>
      <c r="C64" s="88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</row>
  </sheetData>
  <mergeCells count="9">
    <mergeCell ref="A54:A62"/>
    <mergeCell ref="A47:A53"/>
    <mergeCell ref="A46:B46"/>
    <mergeCell ref="D1:G1"/>
    <mergeCell ref="I2:K2"/>
    <mergeCell ref="H25:I25"/>
    <mergeCell ref="L25:M25"/>
    <mergeCell ref="G26:I26"/>
    <mergeCell ref="C45:E45"/>
  </mergeCell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43"/>
  <sheetViews>
    <sheetView topLeftCell="A13" workbookViewId="0">
      <selection activeCell="C78" sqref="C78"/>
    </sheetView>
  </sheetViews>
  <sheetFormatPr defaultColWidth="11.42578125" defaultRowHeight="12.75"/>
  <cols>
    <col min="1" max="1" width="32.5703125" bestFit="1" customWidth="1"/>
    <col min="2" max="2" width="16.5703125" bestFit="1" customWidth="1"/>
    <col min="3" max="4" width="13" bestFit="1" customWidth="1"/>
    <col min="5" max="5" width="20.140625" bestFit="1" customWidth="1"/>
    <col min="6" max="6" width="21.42578125" bestFit="1" customWidth="1"/>
    <col min="7" max="7" width="20.85546875" bestFit="1" customWidth="1"/>
    <col min="8" max="8" width="21.42578125" bestFit="1" customWidth="1"/>
  </cols>
  <sheetData>
    <row r="2" spans="1:8">
      <c r="A2" s="304" t="s">
        <v>331</v>
      </c>
    </row>
    <row r="3" spans="1:8" ht="13.5" thickBot="1"/>
    <row r="4" spans="1:8" ht="15.75" thickBot="1">
      <c r="A4" s="212" t="s">
        <v>202</v>
      </c>
      <c r="B4" s="213" t="s">
        <v>0</v>
      </c>
      <c r="C4" s="213" t="s">
        <v>1</v>
      </c>
      <c r="D4" s="213" t="s">
        <v>2</v>
      </c>
      <c r="E4" s="213" t="s">
        <v>12</v>
      </c>
      <c r="F4" s="213" t="s">
        <v>107</v>
      </c>
      <c r="G4" s="213" t="s">
        <v>4</v>
      </c>
      <c r="H4" s="213" t="s">
        <v>5</v>
      </c>
    </row>
    <row r="5" spans="1:8" ht="15" thickBot="1">
      <c r="A5" s="214" t="s">
        <v>199</v>
      </c>
      <c r="B5" s="215">
        <f>'RECAPTACIÓ HABITATGES'!D18</f>
        <v>220</v>
      </c>
      <c r="C5" s="215">
        <f>'RECAPTACIÓ HABITATGES'!E18</f>
        <v>1973</v>
      </c>
      <c r="D5" s="215">
        <f>'RECAPTACIÓ HABITATGES'!F18</f>
        <v>718</v>
      </c>
      <c r="E5" s="215">
        <f>'RECAPTACIÓ HABITATGES'!G18</f>
        <v>150</v>
      </c>
      <c r="F5" s="215">
        <f>'RECAPTACIÓ HABITATGES'!H18</f>
        <v>404</v>
      </c>
      <c r="G5" s="215">
        <f>'RECAPTACIÓ HABITATGES'!I18</f>
        <v>508</v>
      </c>
      <c r="H5" s="215">
        <f>'RECAPTACIÓ HABITATGES'!J18</f>
        <v>955</v>
      </c>
    </row>
    <row r="6" spans="1:8" ht="15" thickBot="1">
      <c r="A6" s="214" t="s">
        <v>261</v>
      </c>
      <c r="B6" s="222">
        <f>'RECAPTACIÓ HABITATGES'!D20</f>
        <v>4.4000000000000004</v>
      </c>
      <c r="C6" s="222">
        <f>'RECAPTACIÓ HABITATGES'!E20</f>
        <v>39.46</v>
      </c>
      <c r="D6" s="222">
        <f>'RECAPTACIÓ HABITATGES'!F20</f>
        <v>14.36</v>
      </c>
      <c r="E6" s="222">
        <f>'RECAPTACIÓ HABITATGES'!G20</f>
        <v>3</v>
      </c>
      <c r="F6" s="222">
        <f>'RECAPTACIÓ HABITATGES'!H20</f>
        <v>8.08</v>
      </c>
      <c r="G6" s="222">
        <f>'RECAPTACIÓ HABITATGES'!I20</f>
        <v>10.16</v>
      </c>
      <c r="H6" s="222">
        <f>'RECAPTACIÓ HABITATGES'!J20</f>
        <v>19.100000000000001</v>
      </c>
    </row>
    <row r="7" spans="1:8" ht="15" thickBot="1">
      <c r="A7" s="214" t="s">
        <v>203</v>
      </c>
      <c r="B7" s="216">
        <f>'RECAPTACIÓ HABITATGES'!D23</f>
        <v>182.62929856115107</v>
      </c>
      <c r="C7" s="216">
        <f>'RECAPTACIÓ HABITATGES'!E23</f>
        <v>213.35051693548388</v>
      </c>
      <c r="D7" s="216">
        <f>'RECAPTACIÓ HABITATGES'!F23</f>
        <v>193.30242847938143</v>
      </c>
      <c r="E7" s="216">
        <f>'RECAPTACIÓ HABITATGES'!G23</f>
        <v>215.84246133004925</v>
      </c>
      <c r="F7" s="216">
        <f>'RECAPTACIÓ HABITATGES'!H23</f>
        <v>204.20269617579908</v>
      </c>
      <c r="G7" s="216">
        <f>'RECAPTACIÓ HABITATGES'!I23</f>
        <v>193.07416616257089</v>
      </c>
      <c r="H7" s="216">
        <f>'RECAPTACIÓ HABITATGES'!J23</f>
        <v>191.95746690891474</v>
      </c>
    </row>
    <row r="8" spans="1:8" ht="15" thickBot="1">
      <c r="A8" s="214" t="s">
        <v>192</v>
      </c>
      <c r="B8" s="216">
        <f>'RECAPTACIÓ HABITATGES'!D24</f>
        <v>54.788789568345322</v>
      </c>
      <c r="C8" s="216">
        <f>'RECAPTACIÓ HABITATGES'!E24</f>
        <v>64.005155080645167</v>
      </c>
      <c r="D8" s="216">
        <f>'RECAPTACIÓ HABITATGES'!F24</f>
        <v>57.990728543814427</v>
      </c>
      <c r="E8" s="216">
        <f>'RECAPTACIÓ HABITATGES'!G24</f>
        <v>64.752738399014774</v>
      </c>
      <c r="F8" s="216">
        <f>'RECAPTACIÓ HABITATGES'!H24</f>
        <v>61.260808852739721</v>
      </c>
      <c r="G8" s="216">
        <f>'RECAPTACIÓ HABITATGES'!I24</f>
        <v>57.922249848771266</v>
      </c>
      <c r="H8" s="216">
        <f>'RECAPTACIÓ HABITATGES'!J24</f>
        <v>57.587240072674419</v>
      </c>
    </row>
    <row r="9" spans="1:8" ht="15.75" thickBot="1">
      <c r="A9" s="217" t="s">
        <v>204</v>
      </c>
      <c r="B9" s="218">
        <f>'RECAPTACIÓ HABITATGES'!D25</f>
        <v>39937.375009352516</v>
      </c>
      <c r="C9" s="218">
        <f>'RECAPTACIÓ HABITATGES'!E25</f>
        <v>418414.92649422743</v>
      </c>
      <c r="D9" s="218">
        <f>'RECAPTACIÓ HABITATGES'!F25</f>
        <v>137958.39678630669</v>
      </c>
      <c r="E9" s="218">
        <f>'RECAPTACIÓ HABITATGES'!G25</f>
        <v>32182.110984310344</v>
      </c>
      <c r="F9" s="218">
        <f>'RECAPTACIÓ HABITATGES'!H25</f>
        <v>82002.901919492695</v>
      </c>
      <c r="G9" s="218">
        <f>'RECAPTACIÓ HABITATGES'!I25</f>
        <v>97493.186352122488</v>
      </c>
      <c r="H9" s="218">
        <f>'RECAPTACIÓ HABITATGES'!J25</f>
        <v>182219.46461262551</v>
      </c>
    </row>
    <row r="10" spans="1:8" ht="15.75" thickBot="1">
      <c r="A10" s="219" t="s">
        <v>202</v>
      </c>
      <c r="B10" s="220" t="s">
        <v>6</v>
      </c>
      <c r="C10" s="220" t="s">
        <v>8</v>
      </c>
      <c r="D10" s="220" t="s">
        <v>9</v>
      </c>
      <c r="E10" s="220" t="s">
        <v>10</v>
      </c>
      <c r="F10" s="220" t="s">
        <v>11</v>
      </c>
      <c r="G10" s="220" t="s">
        <v>108</v>
      </c>
      <c r="H10" s="221" t="s">
        <v>205</v>
      </c>
    </row>
    <row r="11" spans="1:8" ht="15" thickBot="1">
      <c r="A11" s="214" t="s">
        <v>199</v>
      </c>
      <c r="B11" s="215">
        <f>'RECAPTACIÓ HABITATGES'!K18</f>
        <v>153</v>
      </c>
      <c r="C11" s="215">
        <f>'RECAPTACIÓ HABITATGES'!L18</f>
        <v>1483</v>
      </c>
      <c r="D11" s="215">
        <f>'RECAPTACIÓ HABITATGES'!N18</f>
        <v>1294</v>
      </c>
      <c r="E11" s="215">
        <f>'RECAPTACIÓ HABITATGES'!O18</f>
        <v>230</v>
      </c>
      <c r="F11" s="215">
        <f>'RECAPTACIÓ HABITATGES'!P18</f>
        <v>1338</v>
      </c>
      <c r="G11" s="215">
        <f>'RECAPTACIÓ HABITATGES'!Q18</f>
        <v>2194</v>
      </c>
      <c r="H11" s="215">
        <f>'RECAPTACIÓ HABITATGES'!R18</f>
        <v>11701</v>
      </c>
    </row>
    <row r="12" spans="1:8" ht="15" thickBot="1">
      <c r="A12" s="214" t="s">
        <v>261</v>
      </c>
      <c r="B12" s="215">
        <f>'RECAPTACIÓ HABITATGES'!K20</f>
        <v>3.06</v>
      </c>
      <c r="C12" s="215">
        <f>'RECAPTACIÓ HABITATGES'!L20</f>
        <v>29.66</v>
      </c>
      <c r="D12" s="215">
        <f>'RECAPTACIÓ HABITATGES'!N20</f>
        <v>25.88</v>
      </c>
      <c r="E12" s="215">
        <f>'RECAPTACIÓ HABITATGES'!O20</f>
        <v>4.6000000000000005</v>
      </c>
      <c r="F12" s="215">
        <f>'RECAPTACIÓ HABITATGES'!P20</f>
        <v>26.76</v>
      </c>
      <c r="G12" s="215">
        <f>'RECAPTACIÓ HABITATGES'!Q20</f>
        <v>43.88</v>
      </c>
      <c r="H12" s="215">
        <f>'RECAPTACIÓ HABITATGES'!R20</f>
        <v>234.02</v>
      </c>
    </row>
    <row r="13" spans="1:8" ht="15" thickBot="1">
      <c r="A13" s="214" t="s">
        <v>203</v>
      </c>
      <c r="B13" s="216">
        <f>'RECAPTACIÓ HABITATGES'!K23</f>
        <v>196.04838284023668</v>
      </c>
      <c r="C13" s="216">
        <f>'RECAPTACIÓ HABITATGES'!L23</f>
        <v>186.65057912087912</v>
      </c>
      <c r="D13" s="216">
        <f>'RECAPTACIÓ HABITATGES'!N23</f>
        <v>209.4132933114754</v>
      </c>
      <c r="E13" s="216">
        <f>'RECAPTACIÓ HABITATGES'!O23</f>
        <v>190.68371926406928</v>
      </c>
      <c r="F13" s="216">
        <f>'RECAPTACIÓ HABITATGES'!P23</f>
        <v>203.90818045614037</v>
      </c>
      <c r="G13" s="216">
        <f>'RECAPTACIÓ HABITATGES'!Q23</f>
        <v>193.13112226962764</v>
      </c>
      <c r="H13" s="216"/>
    </row>
    <row r="14" spans="1:8" ht="15" thickBot="1">
      <c r="A14" s="214" t="s">
        <v>192</v>
      </c>
      <c r="B14" s="216">
        <f>'RECAPTACIÓ HABITATGES'!K24</f>
        <v>58.814514852070999</v>
      </c>
      <c r="C14" s="216">
        <f>'RECAPTACIÓ HABITATGES'!L24</f>
        <v>55.99517373626373</v>
      </c>
      <c r="D14" s="216">
        <f>'RECAPTACIÓ HABITATGES'!N24</f>
        <v>62.823987993442614</v>
      </c>
      <c r="E14" s="216">
        <f>'RECAPTACIÓ HABITATGES'!O24</f>
        <v>57.205115779220783</v>
      </c>
      <c r="F14" s="216">
        <f>'RECAPTACIÓ HABITATGES'!P24</f>
        <v>61.172454136842106</v>
      </c>
      <c r="G14" s="216">
        <f>'RECAPTACIÓ HABITATGES'!Q24</f>
        <v>57.939336680888289</v>
      </c>
      <c r="H14" s="216"/>
    </row>
    <row r="15" spans="1:8" ht="15.75" thickBot="1">
      <c r="A15" s="217" t="s">
        <v>204</v>
      </c>
      <c r="B15" s="218">
        <f>'RECAPTACIÓ HABITATGES'!K25</f>
        <v>29815.430159108877</v>
      </c>
      <c r="C15" s="218">
        <f>'RECAPTACIÓ HABITATGES'!L25</f>
        <v>275141.99198324612</v>
      </c>
      <c r="D15" s="218">
        <f>'RECAPTACIÓ HABITATGES'!N25</f>
        <v>269354.91673577885</v>
      </c>
      <c r="E15" s="218">
        <f>'RECAPTACIÓ HABITATGES'!O25</f>
        <v>43594.111898151517</v>
      </c>
      <c r="F15" s="218">
        <f>'RECAPTACIÓ HABITATGES'!P25</f>
        <v>271192.17057761393</v>
      </c>
      <c r="G15" s="218">
        <f>'RECAPTACIÓ HABITATGES'!Q25</f>
        <v>421187.30416600569</v>
      </c>
      <c r="H15" s="218">
        <f>'RECAPTACIÓ HABITATGES'!R25</f>
        <v>2316411.3534107422</v>
      </c>
    </row>
    <row r="18" spans="1:8">
      <c r="A18" s="304" t="s">
        <v>104</v>
      </c>
    </row>
    <row r="19" spans="1:8" ht="13.5" thickBot="1"/>
    <row r="20" spans="1:8" ht="15.75" thickBot="1">
      <c r="A20" s="212" t="s">
        <v>202</v>
      </c>
      <c r="B20" s="213" t="s">
        <v>0</v>
      </c>
      <c r="C20" s="213" t="s">
        <v>1</v>
      </c>
      <c r="D20" s="213" t="s">
        <v>2</v>
      </c>
      <c r="E20" s="213" t="s">
        <v>12</v>
      </c>
      <c r="F20" s="213" t="s">
        <v>107</v>
      </c>
      <c r="G20" s="213" t="s">
        <v>4</v>
      </c>
      <c r="H20" s="213" t="s">
        <v>5</v>
      </c>
    </row>
    <row r="21" spans="1:8" ht="15" thickBot="1">
      <c r="A21" s="214" t="s">
        <v>198</v>
      </c>
      <c r="B21" s="215">
        <f>'RECAPTACIÓ HABITATGES'!D19</f>
        <v>64</v>
      </c>
      <c r="C21" s="215">
        <f>'RECAPTACIÓ HABITATGES'!E19</f>
        <v>157</v>
      </c>
      <c r="D21" s="215">
        <f>'RECAPTACIÓ HABITATGES'!F19</f>
        <v>71</v>
      </c>
      <c r="E21" s="215">
        <f>'RECAPTACIÓ HABITATGES'!G19</f>
        <v>50</v>
      </c>
      <c r="F21" s="215">
        <f>'RECAPTACIÓ HABITATGES'!H19</f>
        <v>28</v>
      </c>
      <c r="G21" s="215">
        <f>'RECAPTACIÓ HABITATGES'!I19</f>
        <v>19</v>
      </c>
      <c r="H21" s="215">
        <f>'RECAPTACIÓ HABITATGES'!J19</f>
        <v>97</v>
      </c>
    </row>
    <row r="22" spans="1:8" ht="15" thickBot="1">
      <c r="A22" s="214" t="s">
        <v>261</v>
      </c>
      <c r="B22" s="222">
        <f>'RECAPTACIÓ HABITATGES'!D21</f>
        <v>1.28</v>
      </c>
      <c r="C22" s="222">
        <f>'RECAPTACIÓ HABITATGES'!E21</f>
        <v>3.14</v>
      </c>
      <c r="D22" s="222">
        <f>'RECAPTACIÓ HABITATGES'!F21</f>
        <v>1.42</v>
      </c>
      <c r="E22" s="222">
        <f>'RECAPTACIÓ HABITATGES'!G21</f>
        <v>1</v>
      </c>
      <c r="F22" s="222">
        <f>'RECAPTACIÓ HABITATGES'!H21</f>
        <v>0.56000000000000005</v>
      </c>
      <c r="G22" s="222">
        <f>'RECAPTACIÓ HABITATGES'!I21</f>
        <v>0.38</v>
      </c>
      <c r="H22" s="222">
        <f>'RECAPTACIÓ HABITATGES'!J21</f>
        <v>1.94</v>
      </c>
    </row>
    <row r="23" spans="1:8" ht="15" thickBot="1">
      <c r="A23" s="214" t="s">
        <v>203</v>
      </c>
      <c r="B23" s="216">
        <f>'RECAPTACIÓ HABITATGES'!D27</f>
        <v>135.62929856115107</v>
      </c>
      <c r="C23" s="216">
        <f>'RECAPTACIÓ HABITATGES'!E27</f>
        <v>166.35051693548388</v>
      </c>
      <c r="D23" s="216">
        <f>'RECAPTACIÓ HABITATGES'!F27</f>
        <v>146.30242847938143</v>
      </c>
      <c r="E23" s="216">
        <f>'RECAPTACIÓ HABITATGES'!G27</f>
        <v>168.84246133004925</v>
      </c>
      <c r="F23" s="216">
        <f>'RECAPTACIÓ HABITATGES'!H27</f>
        <v>157.20269617579908</v>
      </c>
      <c r="G23" s="216">
        <f>'RECAPTACIÓ HABITATGES'!I27</f>
        <v>146.07416616257089</v>
      </c>
      <c r="H23" s="216">
        <f>'RECAPTACIÓ HABITATGES'!J27</f>
        <v>144.95746690891474</v>
      </c>
    </row>
    <row r="24" spans="1:8" ht="15" thickBot="1">
      <c r="A24" s="214" t="s">
        <v>192</v>
      </c>
      <c r="B24" s="216">
        <f>'RECAPTACIÓ HABITATGES'!D28</f>
        <v>40.688789568345321</v>
      </c>
      <c r="C24" s="216">
        <f>'RECAPTACIÓ HABITATGES'!E28</f>
        <v>49.905155080645166</v>
      </c>
      <c r="D24" s="216">
        <f>'RECAPTACIÓ HABITATGES'!F28</f>
        <v>43.890728543814426</v>
      </c>
      <c r="E24" s="216">
        <f>'RECAPTACIÓ HABITATGES'!G28</f>
        <v>50.652738399014773</v>
      </c>
      <c r="F24" s="216">
        <f>'RECAPTACIÓ HABITATGES'!H28</f>
        <v>47.16080885273972</v>
      </c>
      <c r="G24" s="216">
        <f>'RECAPTACIÓ HABITATGES'!I28</f>
        <v>43.822249848771264</v>
      </c>
      <c r="H24" s="216">
        <f>'RECAPTACIÓ HABITATGES'!J28</f>
        <v>43.487240072674417</v>
      </c>
    </row>
    <row r="25" spans="1:8" ht="15.75" thickBot="1">
      <c r="A25" s="217" t="s">
        <v>204</v>
      </c>
      <c r="B25" s="218">
        <f>'RECAPTACIÓ HABITATGES'!D29</f>
        <v>8628.1934572661867</v>
      </c>
      <c r="C25" s="218">
        <f>'RECAPTACIÓ HABITATGES'!E29</f>
        <v>25960.328971917748</v>
      </c>
      <c r="D25" s="218">
        <f>'RECAPTACIÓ HABITATGES'!F29</f>
        <v>10325.147587503865</v>
      </c>
      <c r="E25" s="218">
        <f>'RECAPTACIÓ HABITATGES'!G29</f>
        <v>8391.4703281034472</v>
      </c>
      <c r="F25" s="218">
        <f>'RECAPTACIÓ HABITATGES'!H29</f>
        <v>4375.26543996484</v>
      </c>
      <c r="G25" s="218">
        <f>'RECAPTACIÓ HABITATGES'!I29</f>
        <v>2758.7567021463142</v>
      </c>
      <c r="H25" s="218">
        <f>'RECAPTACIÓ HABITATGES'!J29</f>
        <v>13976.509044423741</v>
      </c>
    </row>
    <row r="26" spans="1:8" ht="15.75" thickBot="1">
      <c r="A26" s="219" t="s">
        <v>202</v>
      </c>
      <c r="B26" s="220" t="s">
        <v>6</v>
      </c>
      <c r="C26" s="220" t="s">
        <v>8</v>
      </c>
      <c r="D26" s="220" t="s">
        <v>9</v>
      </c>
      <c r="E26" s="220" t="s">
        <v>10</v>
      </c>
      <c r="F26" s="220" t="s">
        <v>11</v>
      </c>
      <c r="G26" s="220" t="s">
        <v>108</v>
      </c>
      <c r="H26" s="221" t="s">
        <v>205</v>
      </c>
    </row>
    <row r="27" spans="1:8" ht="15" thickBot="1">
      <c r="A27" s="214" t="s">
        <v>198</v>
      </c>
      <c r="B27" s="222">
        <f>'RECAPTACIÓ HABITATGES'!K19</f>
        <v>0</v>
      </c>
      <c r="C27" s="222">
        <f>'RECAPTACIÓ HABITATGES'!L19</f>
        <v>96</v>
      </c>
      <c r="D27" s="222">
        <f>'RECAPTACIÓ HABITATGES'!N19</f>
        <v>269</v>
      </c>
      <c r="E27" s="222">
        <f>'RECAPTACIÓ HABITATGES'!O19</f>
        <v>0</v>
      </c>
      <c r="F27" s="222">
        <f>'RECAPTACIÓ HABITATGES'!P19</f>
        <v>72</v>
      </c>
      <c r="G27" s="222">
        <f>'RECAPTACIÓ HABITATGES'!Q19</f>
        <v>26</v>
      </c>
      <c r="H27" s="222">
        <f>'RECAPTACIÓ HABITATGES'!R19</f>
        <v>949</v>
      </c>
    </row>
    <row r="28" spans="1:8" ht="15" thickBot="1">
      <c r="A28" s="214" t="s">
        <v>261</v>
      </c>
      <c r="B28" s="222">
        <f>'RECAPTACIÓ HABITATGES'!K21</f>
        <v>0</v>
      </c>
      <c r="C28" s="222">
        <f>'RECAPTACIÓ HABITATGES'!L21</f>
        <v>1.92</v>
      </c>
      <c r="D28" s="222">
        <f>'RECAPTACIÓ HABITATGES'!N21</f>
        <v>5.38</v>
      </c>
      <c r="E28" s="222">
        <f>'RECAPTACIÓ HABITATGES'!O21</f>
        <v>0</v>
      </c>
      <c r="F28" s="222">
        <f>'RECAPTACIÓ HABITATGES'!P21</f>
        <v>1.44</v>
      </c>
      <c r="G28" s="222">
        <f>'RECAPTACIÓ HABITATGES'!Q21</f>
        <v>0.52</v>
      </c>
      <c r="H28" s="222">
        <f>'RECAPTACIÓ HABITATGES'!R21</f>
        <v>18.98</v>
      </c>
    </row>
    <row r="29" spans="1:8" ht="15" thickBot="1">
      <c r="A29" s="214" t="s">
        <v>203</v>
      </c>
      <c r="B29" s="216">
        <f>'RECAPTACIÓ HABITATGES'!K27</f>
        <v>149.04838284023668</v>
      </c>
      <c r="C29" s="216">
        <f>'RECAPTACIÓ HABITATGES'!L27</f>
        <v>139.65057912087912</v>
      </c>
      <c r="D29" s="216">
        <f>'RECAPTACIÓ HABITATGES'!N27</f>
        <v>162.4132933114754</v>
      </c>
      <c r="E29" s="216">
        <f>'RECAPTACIÓ HABITATGES'!O27</f>
        <v>143.68371926406928</v>
      </c>
      <c r="F29" s="216">
        <f>'RECAPTACIÓ HABITATGES'!P27</f>
        <v>156.90818045614037</v>
      </c>
      <c r="G29" s="216">
        <f>'RECAPTACIÓ HABITATGES'!Q27</f>
        <v>146.13112226962764</v>
      </c>
      <c r="H29" s="216"/>
    </row>
    <row r="30" spans="1:8" ht="15" thickBot="1">
      <c r="A30" s="214" t="s">
        <v>192</v>
      </c>
      <c r="B30" s="216">
        <f>'RECAPTACIÓ HABITATGES'!K28</f>
        <v>44.714514852071005</v>
      </c>
      <c r="C30" s="216">
        <f>'RECAPTACIÓ HABITATGES'!L28</f>
        <v>41.895173736263736</v>
      </c>
      <c r="D30" s="216">
        <f>'RECAPTACIÓ HABITATGES'!N28</f>
        <v>48.72398799344262</v>
      </c>
      <c r="E30" s="216">
        <f>'RECAPTACIÓ HABITATGES'!O28</f>
        <v>43.105115779220782</v>
      </c>
      <c r="F30" s="216">
        <f>'RECAPTACIÓ HABITATGES'!P28</f>
        <v>47.072454136842111</v>
      </c>
      <c r="G30" s="216">
        <f>'RECAPTACIÓ HABITATGES'!Q28</f>
        <v>43.839336680888287</v>
      </c>
      <c r="H30" s="216"/>
    </row>
    <row r="31" spans="1:8" ht="15.75" thickBot="1">
      <c r="A31" s="217" t="s">
        <v>204</v>
      </c>
      <c r="B31" s="218">
        <f>'RECAPTACIÓ HABITATGES'!K29</f>
        <v>0</v>
      </c>
      <c r="C31" s="218">
        <f>'RECAPTACIÓ HABITATGES'!L29</f>
        <v>13326.016862030769</v>
      </c>
      <c r="D31" s="218">
        <f>'RECAPTACIÓ HABITATGES'!N29</f>
        <v>43427.040845382166</v>
      </c>
      <c r="E31" s="218">
        <f>'RECAPTACIÓ HABITATGES'!O29</f>
        <v>0</v>
      </c>
      <c r="F31" s="218">
        <f>'RECAPTACIÓ HABITATGES'!P29</f>
        <v>11229.604658885053</v>
      </c>
      <c r="G31" s="218">
        <f>'RECAPTACIÓ HABITATGES'!Q29</f>
        <v>3776.6127239362568</v>
      </c>
      <c r="H31" s="218">
        <f>'RECAPTACIÓ HABITATGES'!R29</f>
        <v>146174.94662156038</v>
      </c>
    </row>
    <row r="34" spans="1:8">
      <c r="A34" s="304" t="s">
        <v>334</v>
      </c>
    </row>
    <row r="35" spans="1:8" ht="13.5" thickBot="1"/>
    <row r="36" spans="1:8" ht="15.75" thickBot="1">
      <c r="A36" s="212" t="s">
        <v>202</v>
      </c>
      <c r="B36" s="213" t="s">
        <v>0</v>
      </c>
      <c r="C36" s="213" t="s">
        <v>1</v>
      </c>
      <c r="D36" s="213" t="s">
        <v>2</v>
      </c>
      <c r="E36" s="213" t="s">
        <v>12</v>
      </c>
      <c r="F36" s="213" t="s">
        <v>107</v>
      </c>
      <c r="G36" s="213" t="s">
        <v>4</v>
      </c>
      <c r="H36" s="213" t="s">
        <v>5</v>
      </c>
    </row>
    <row r="37" spans="1:8" ht="15" thickBot="1">
      <c r="A37" s="214" t="s">
        <v>335</v>
      </c>
      <c r="B37" s="305">
        <f>B9</f>
        <v>39937.375009352516</v>
      </c>
      <c r="C37" s="305">
        <f t="shared" ref="C37:H37" si="0">C9</f>
        <v>418414.92649422743</v>
      </c>
      <c r="D37" s="305">
        <f t="shared" si="0"/>
        <v>137958.39678630669</v>
      </c>
      <c r="E37" s="305">
        <f t="shared" si="0"/>
        <v>32182.110984310344</v>
      </c>
      <c r="F37" s="305">
        <f t="shared" si="0"/>
        <v>82002.901919492695</v>
      </c>
      <c r="G37" s="305">
        <f t="shared" si="0"/>
        <v>97493.186352122488</v>
      </c>
      <c r="H37" s="305">
        <f t="shared" si="0"/>
        <v>182219.46461262551</v>
      </c>
    </row>
    <row r="38" spans="1:8" ht="15" thickBot="1">
      <c r="A38" s="214" t="s">
        <v>336</v>
      </c>
      <c r="B38" s="305">
        <f>B25</f>
        <v>8628.1934572661867</v>
      </c>
      <c r="C38" s="305">
        <f t="shared" ref="C38:H38" si="1">C25</f>
        <v>25960.328971917748</v>
      </c>
      <c r="D38" s="305">
        <f t="shared" si="1"/>
        <v>10325.147587503865</v>
      </c>
      <c r="E38" s="305">
        <f t="shared" si="1"/>
        <v>8391.4703281034472</v>
      </c>
      <c r="F38" s="305">
        <f t="shared" si="1"/>
        <v>4375.26543996484</v>
      </c>
      <c r="G38" s="305">
        <f t="shared" si="1"/>
        <v>2758.7567021463142</v>
      </c>
      <c r="H38" s="305">
        <f t="shared" si="1"/>
        <v>13976.509044423741</v>
      </c>
    </row>
    <row r="39" spans="1:8" ht="15.75" thickBot="1">
      <c r="A39" s="217" t="s">
        <v>204</v>
      </c>
      <c r="B39" s="307">
        <f>SUM(B37:B38)</f>
        <v>48565.568466618701</v>
      </c>
      <c r="C39" s="307">
        <v>441953.28000000003</v>
      </c>
      <c r="D39" s="307">
        <f t="shared" ref="D39:H39" si="2">SUM(D37:D38)</f>
        <v>148283.54437381055</v>
      </c>
      <c r="E39" s="307">
        <f t="shared" si="2"/>
        <v>40573.581312413793</v>
      </c>
      <c r="F39" s="307">
        <f t="shared" si="2"/>
        <v>86378.16735945754</v>
      </c>
      <c r="G39" s="307">
        <f t="shared" si="2"/>
        <v>100251.94305426881</v>
      </c>
      <c r="H39" s="307">
        <f t="shared" si="2"/>
        <v>196195.97365704924</v>
      </c>
    </row>
    <row r="40" spans="1:8" ht="15.75" thickBot="1">
      <c r="A40" s="219" t="s">
        <v>202</v>
      </c>
      <c r="B40" s="220" t="s">
        <v>6</v>
      </c>
      <c r="C40" s="220" t="s">
        <v>8</v>
      </c>
      <c r="D40" s="220" t="s">
        <v>9</v>
      </c>
      <c r="E40" s="220" t="s">
        <v>10</v>
      </c>
      <c r="F40" s="220" t="s">
        <v>11</v>
      </c>
      <c r="G40" s="220" t="s">
        <v>108</v>
      </c>
      <c r="H40" s="221" t="s">
        <v>205</v>
      </c>
    </row>
    <row r="41" spans="1:8" ht="15" thickBot="1">
      <c r="A41" s="214" t="s">
        <v>335</v>
      </c>
      <c r="B41" s="305">
        <f>B15</f>
        <v>29815.430159108877</v>
      </c>
      <c r="C41" s="305">
        <f t="shared" ref="C41:G41" si="3">C15</f>
        <v>275141.99198324612</v>
      </c>
      <c r="D41" s="305">
        <f t="shared" si="3"/>
        <v>269354.91673577885</v>
      </c>
      <c r="E41" s="305">
        <f t="shared" si="3"/>
        <v>43594.111898151517</v>
      </c>
      <c r="F41" s="305">
        <f>F15</f>
        <v>271192.17057761393</v>
      </c>
      <c r="G41" s="305">
        <f t="shared" si="3"/>
        <v>421187.30416600569</v>
      </c>
      <c r="H41" s="305">
        <f>H15</f>
        <v>2316411.3534107422</v>
      </c>
    </row>
    <row r="42" spans="1:8" ht="15" thickBot="1">
      <c r="A42" s="214" t="s">
        <v>336</v>
      </c>
      <c r="B42" s="305">
        <f>B31</f>
        <v>0</v>
      </c>
      <c r="C42" s="305">
        <f t="shared" ref="C42:H42" si="4">C31</f>
        <v>13326.016862030769</v>
      </c>
      <c r="D42" s="305">
        <f t="shared" si="4"/>
        <v>43427.040845382166</v>
      </c>
      <c r="E42" s="305">
        <f t="shared" si="4"/>
        <v>0</v>
      </c>
      <c r="F42" s="305">
        <f t="shared" si="4"/>
        <v>11229.604658885053</v>
      </c>
      <c r="G42" s="305">
        <f t="shared" si="4"/>
        <v>3776.6127239362568</v>
      </c>
      <c r="H42" s="305">
        <f t="shared" si="4"/>
        <v>146174.94662156038</v>
      </c>
    </row>
    <row r="43" spans="1:8" ht="15.75" thickBot="1">
      <c r="A43" s="217" t="s">
        <v>204</v>
      </c>
      <c r="B43" s="307">
        <f>SUM(B41:B42)</f>
        <v>29815.430159108877</v>
      </c>
      <c r="C43" s="307">
        <f t="shared" ref="C43:G43" si="5">SUM(C41:C42)</f>
        <v>288468.0088452769</v>
      </c>
      <c r="D43" s="307">
        <f t="shared" si="5"/>
        <v>312781.957581161</v>
      </c>
      <c r="E43" s="307">
        <f t="shared" si="5"/>
        <v>43594.111898151517</v>
      </c>
      <c r="F43" s="307">
        <f>SUM(F41:F42)</f>
        <v>282421.77523649897</v>
      </c>
      <c r="G43" s="307">
        <f t="shared" si="5"/>
        <v>424963.91688994196</v>
      </c>
      <c r="H43" s="307">
        <f>H41+H42</f>
        <v>2462586.3000323027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0"/>
  <sheetViews>
    <sheetView workbookViewId="0">
      <selection activeCell="C78" sqref="C78"/>
    </sheetView>
  </sheetViews>
  <sheetFormatPr defaultColWidth="11.42578125" defaultRowHeight="12.75"/>
  <cols>
    <col min="1" max="1" width="42.42578125" bestFit="1" customWidth="1"/>
    <col min="2" max="2" width="14.5703125" bestFit="1" customWidth="1"/>
    <col min="3" max="3" width="14.42578125" bestFit="1" customWidth="1"/>
    <col min="4" max="4" width="12.42578125" bestFit="1" customWidth="1"/>
    <col min="5" max="5" width="13" bestFit="1" customWidth="1"/>
    <col min="6" max="6" width="21.42578125" bestFit="1" customWidth="1"/>
    <col min="7" max="7" width="20.85546875" bestFit="1" customWidth="1"/>
    <col min="8" max="8" width="25.42578125" customWidth="1"/>
    <col min="9" max="12" width="17.42578125" customWidth="1"/>
  </cols>
  <sheetData>
    <row r="1" spans="1:12" ht="13.5" thickBot="1">
      <c r="G1" s="533" t="s">
        <v>234</v>
      </c>
      <c r="H1" s="534"/>
      <c r="I1" s="535"/>
    </row>
    <row r="2" spans="1:12" ht="15.75" thickBot="1">
      <c r="A2" s="548" t="s">
        <v>206</v>
      </c>
      <c r="B2" s="549"/>
      <c r="C2" s="549"/>
      <c r="D2" s="549"/>
      <c r="E2" s="550"/>
      <c r="G2" s="536"/>
      <c r="H2" s="537"/>
      <c r="I2" s="538"/>
    </row>
    <row r="3" spans="1:12" ht="30.75" thickBot="1">
      <c r="A3" s="238" t="s">
        <v>207</v>
      </c>
      <c r="B3" s="239" t="s">
        <v>208</v>
      </c>
      <c r="C3" s="240" t="s">
        <v>144</v>
      </c>
      <c r="D3" s="240" t="s">
        <v>209</v>
      </c>
      <c r="E3" s="240" t="s">
        <v>210</v>
      </c>
    </row>
    <row r="4" spans="1:12" ht="26.25" thickBot="1">
      <c r="A4" s="223" t="s">
        <v>211</v>
      </c>
      <c r="B4" s="224">
        <f>'RECAPTACIÓ HABITATGES'!B52</f>
        <v>6.5000000000000002E-2</v>
      </c>
      <c r="C4" s="226">
        <f>'RECAPTACIÓ HABITATGES'!C52</f>
        <v>760.56500000000005</v>
      </c>
      <c r="D4" s="225">
        <f>'RECAPTACIÓ HABITATGES'!D52</f>
        <v>35</v>
      </c>
      <c r="E4" s="225">
        <f>'RECAPTACIÓ HABITATGES'!E52</f>
        <v>26619.775000000001</v>
      </c>
      <c r="G4" s="160"/>
      <c r="H4" s="160"/>
      <c r="I4" s="208" t="s">
        <v>187</v>
      </c>
      <c r="J4" s="208" t="s">
        <v>188</v>
      </c>
      <c r="K4" s="208" t="s">
        <v>189</v>
      </c>
      <c r="L4" s="208" t="s">
        <v>190</v>
      </c>
    </row>
    <row r="5" spans="1:12" ht="45.75" thickBot="1">
      <c r="A5" s="223" t="s">
        <v>212</v>
      </c>
      <c r="B5" s="224">
        <f>'RECAPTACIÓ HABITATGES'!B53</f>
        <v>0</v>
      </c>
      <c r="C5" s="226">
        <f>'RECAPTACIÓ HABITATGES'!C53</f>
        <v>0</v>
      </c>
      <c r="D5" s="225">
        <f>'RECAPTACIÓ HABITATGES'!D53</f>
        <v>25</v>
      </c>
      <c r="E5" s="225">
        <f>'RECAPTACIÓ HABITATGES'!E53</f>
        <v>0</v>
      </c>
      <c r="G5" s="232"/>
      <c r="H5" s="233" t="s">
        <v>332</v>
      </c>
      <c r="I5" s="233" t="s">
        <v>224</v>
      </c>
      <c r="J5" s="233" t="s">
        <v>225</v>
      </c>
      <c r="K5" s="233" t="s">
        <v>226</v>
      </c>
      <c r="L5" s="233" t="s">
        <v>227</v>
      </c>
    </row>
    <row r="6" spans="1:12" ht="15" thickBot="1">
      <c r="A6" s="223" t="s">
        <v>213</v>
      </c>
      <c r="B6" s="224">
        <f>'RECAPTACIÓ HABITATGES'!B54</f>
        <v>0</v>
      </c>
      <c r="C6" s="226">
        <f>'RECAPTACIÓ HABITATGES'!C54</f>
        <v>0</v>
      </c>
      <c r="D6" s="225">
        <f>'RECAPTACIÓ HABITATGES'!D54</f>
        <v>10</v>
      </c>
      <c r="E6" s="225">
        <f>'RECAPTACIÓ HABITATGES'!E54</f>
        <v>0</v>
      </c>
      <c r="G6" s="521" t="s">
        <v>228</v>
      </c>
      <c r="H6" s="523">
        <v>156</v>
      </c>
      <c r="I6" s="236" t="s">
        <v>229</v>
      </c>
      <c r="J6" s="236" t="s">
        <v>96</v>
      </c>
      <c r="K6" s="236" t="s">
        <v>230</v>
      </c>
      <c r="L6" s="236" t="s">
        <v>85</v>
      </c>
    </row>
    <row r="7" spans="1:12" ht="15" thickBot="1">
      <c r="A7" s="223" t="s">
        <v>214</v>
      </c>
      <c r="B7" s="224">
        <f>'RECAPTACIÓ HABITATGES'!B55</f>
        <v>0.93500000000000005</v>
      </c>
      <c r="C7" s="226">
        <f>'RECAPTACIÓ HABITATGES'!C55</f>
        <v>10940.435000000001</v>
      </c>
      <c r="D7" s="225">
        <f>'RECAPTACIÓ HABITATGES'!D55</f>
        <v>0</v>
      </c>
      <c r="E7" s="225">
        <f>'RECAPTACIÓ HABITATGES'!E55</f>
        <v>0</v>
      </c>
      <c r="G7" s="522"/>
      <c r="H7" s="524"/>
      <c r="I7" s="237">
        <v>35</v>
      </c>
      <c r="J7" s="237">
        <v>25</v>
      </c>
      <c r="K7" s="237">
        <v>10</v>
      </c>
      <c r="L7" s="237">
        <v>0</v>
      </c>
    </row>
    <row r="8" spans="1:12" ht="15.75" thickBot="1">
      <c r="A8" s="545" t="s">
        <v>215</v>
      </c>
      <c r="B8" s="546"/>
      <c r="C8" s="546"/>
      <c r="D8" s="547"/>
      <c r="E8" s="227">
        <f>SUM(E4:E7)</f>
        <v>26619.775000000001</v>
      </c>
      <c r="G8" s="521" t="s">
        <v>195</v>
      </c>
      <c r="H8" s="523">
        <v>104</v>
      </c>
      <c r="I8" s="236" t="s">
        <v>88</v>
      </c>
      <c r="J8" s="236" t="s">
        <v>98</v>
      </c>
      <c r="K8" s="236" t="s">
        <v>349</v>
      </c>
      <c r="L8" s="236" t="s">
        <v>350</v>
      </c>
    </row>
    <row r="9" spans="1:12" ht="30.75" thickBot="1">
      <c r="A9" s="238" t="s">
        <v>216</v>
      </c>
      <c r="B9" s="239" t="s">
        <v>208</v>
      </c>
      <c r="C9" s="240" t="s">
        <v>144</v>
      </c>
      <c r="D9" s="240" t="s">
        <v>209</v>
      </c>
      <c r="E9" s="240" t="s">
        <v>210</v>
      </c>
      <c r="G9" s="522"/>
      <c r="H9" s="524"/>
      <c r="I9" s="237">
        <v>20</v>
      </c>
      <c r="J9" s="237">
        <v>15</v>
      </c>
      <c r="K9" s="237">
        <v>5</v>
      </c>
      <c r="L9" s="237">
        <v>0</v>
      </c>
    </row>
    <row r="10" spans="1:12" ht="15" thickBot="1">
      <c r="A10" s="223" t="s">
        <v>211</v>
      </c>
      <c r="B10" s="224">
        <f>'RECAPTACIÓ HABITATGES'!B57</f>
        <v>6.5000000000000002E-2</v>
      </c>
      <c r="C10" s="226">
        <f>'RECAPTACIÓ HABITATGES'!C57</f>
        <v>760.56500000000005</v>
      </c>
      <c r="D10" s="225">
        <f>'RECAPTACIÓ HABITATGES'!D57</f>
        <v>20</v>
      </c>
      <c r="E10" s="225">
        <f>'RECAPTACIÓ HABITATGES'!E57</f>
        <v>15211.300000000001</v>
      </c>
      <c r="G10" s="521" t="s">
        <v>196</v>
      </c>
      <c r="H10" s="523">
        <v>26</v>
      </c>
      <c r="I10" s="236" t="s">
        <v>88</v>
      </c>
      <c r="J10" s="539" t="s">
        <v>89</v>
      </c>
      <c r="K10" s="540"/>
      <c r="L10" s="236" t="s">
        <v>79</v>
      </c>
    </row>
    <row r="11" spans="1:12" ht="15" thickBot="1">
      <c r="A11" s="223" t="s">
        <v>212</v>
      </c>
      <c r="B11" s="224">
        <f>'RECAPTACIÓ HABITATGES'!B58</f>
        <v>0</v>
      </c>
      <c r="C11" s="226">
        <f>'RECAPTACIÓ HABITATGES'!C58</f>
        <v>0</v>
      </c>
      <c r="D11" s="225">
        <f>'RECAPTACIÓ HABITATGES'!D58</f>
        <v>15</v>
      </c>
      <c r="E11" s="225">
        <f>'RECAPTACIÓ HABITATGES'!E58</f>
        <v>0</v>
      </c>
      <c r="G11" s="522"/>
      <c r="H11" s="524"/>
      <c r="I11" s="237">
        <v>50</v>
      </c>
      <c r="J11" s="541">
        <v>20</v>
      </c>
      <c r="K11" s="542"/>
      <c r="L11" s="237">
        <v>0</v>
      </c>
    </row>
    <row r="12" spans="1:12" ht="15" thickBot="1">
      <c r="A12" s="223" t="s">
        <v>213</v>
      </c>
      <c r="B12" s="224">
        <f>'RECAPTACIÓ HABITATGES'!B59</f>
        <v>0</v>
      </c>
      <c r="C12" s="226">
        <f>'RECAPTACIÓ HABITATGES'!C59</f>
        <v>0</v>
      </c>
      <c r="D12" s="225">
        <f>'RECAPTACIÓ HABITATGES'!D59</f>
        <v>5</v>
      </c>
      <c r="E12" s="225">
        <f>'RECAPTACIÓ HABITATGES'!E59</f>
        <v>0</v>
      </c>
      <c r="G12" s="527" t="s">
        <v>231</v>
      </c>
      <c r="H12" s="528"/>
      <c r="I12" s="539">
        <v>0</v>
      </c>
      <c r="J12" s="543"/>
      <c r="K12" s="540"/>
      <c r="L12" s="236" t="s">
        <v>232</v>
      </c>
    </row>
    <row r="13" spans="1:12" ht="15" thickBot="1">
      <c r="A13" s="223" t="s">
        <v>214</v>
      </c>
      <c r="B13" s="224">
        <f>'RECAPTACIÓ HABITATGES'!B60</f>
        <v>0.93500000000000005</v>
      </c>
      <c r="C13" s="226">
        <f>'RECAPTACIÓ HABITATGES'!C60</f>
        <v>10940.435000000001</v>
      </c>
      <c r="D13" s="225">
        <f>'RECAPTACIÓ HABITATGES'!D60</f>
        <v>0</v>
      </c>
      <c r="E13" s="225">
        <f>'RECAPTACIÓ HABITATGES'!E60</f>
        <v>0</v>
      </c>
      <c r="G13" s="529"/>
      <c r="H13" s="530"/>
      <c r="I13" s="541">
        <v>10</v>
      </c>
      <c r="J13" s="544"/>
      <c r="K13" s="542"/>
      <c r="L13" s="237">
        <v>0</v>
      </c>
    </row>
    <row r="14" spans="1:12" ht="15.75" thickBot="1">
      <c r="A14" s="545" t="s">
        <v>217</v>
      </c>
      <c r="B14" s="546"/>
      <c r="C14" s="546"/>
      <c r="D14" s="547"/>
      <c r="E14" s="227">
        <f>SUM(E10:E13)</f>
        <v>15211.300000000001</v>
      </c>
      <c r="G14" s="531" t="s">
        <v>28</v>
      </c>
      <c r="H14" s="532"/>
      <c r="I14" s="234">
        <v>115</v>
      </c>
      <c r="J14" s="234">
        <v>70</v>
      </c>
      <c r="K14" s="234">
        <v>45</v>
      </c>
      <c r="L14" s="234">
        <v>0</v>
      </c>
    </row>
    <row r="15" spans="1:12" ht="30.75" thickBot="1">
      <c r="A15" s="238" t="s">
        <v>218</v>
      </c>
      <c r="B15" s="239" t="s">
        <v>208</v>
      </c>
      <c r="C15" s="240" t="s">
        <v>144</v>
      </c>
      <c r="D15" s="240" t="s">
        <v>209</v>
      </c>
      <c r="E15" s="240" t="s">
        <v>210</v>
      </c>
    </row>
    <row r="16" spans="1:12" ht="15" thickBot="1">
      <c r="A16" s="223" t="s">
        <v>212</v>
      </c>
      <c r="B16" s="224">
        <f>'RECAPTACIÓ HABITATGES'!B62</f>
        <v>6.5000000000000002E-2</v>
      </c>
      <c r="C16" s="226">
        <f>'RECAPTACIÓ HABITATGES'!C62</f>
        <v>760.56500000000005</v>
      </c>
      <c r="D16" s="225">
        <f>'RECAPTACIÓ HABITATGES'!D62</f>
        <v>50</v>
      </c>
      <c r="E16" s="225">
        <f>'RECAPTACIÓ HABITATGES'!E62</f>
        <v>38028.25</v>
      </c>
    </row>
    <row r="17" spans="1:12" ht="45.75" thickBot="1">
      <c r="A17" s="223" t="s">
        <v>213</v>
      </c>
      <c r="B17" s="224">
        <f>'RECAPTACIÓ HABITATGES'!B63</f>
        <v>0</v>
      </c>
      <c r="C17" s="226">
        <f>'RECAPTACIÓ HABITATGES'!C63</f>
        <v>0</v>
      </c>
      <c r="D17" s="225">
        <f>'RECAPTACIÓ HABITATGES'!D63</f>
        <v>20</v>
      </c>
      <c r="E17" s="225">
        <f>'RECAPTACIÓ HABITATGES'!E63</f>
        <v>0</v>
      </c>
      <c r="G17" s="232"/>
      <c r="H17" s="233" t="s">
        <v>333</v>
      </c>
      <c r="I17" s="233" t="s">
        <v>224</v>
      </c>
      <c r="J17" s="233" t="s">
        <v>225</v>
      </c>
      <c r="K17" s="233" t="s">
        <v>226</v>
      </c>
      <c r="L17" s="233" t="s">
        <v>227</v>
      </c>
    </row>
    <row r="18" spans="1:12" ht="15" thickBot="1">
      <c r="A18" s="223" t="s">
        <v>214</v>
      </c>
      <c r="B18" s="224">
        <f>'RECAPTACIÓ HABITATGES'!B64</f>
        <v>0.93500000000000005</v>
      </c>
      <c r="C18" s="226">
        <f>'RECAPTACIÓ HABITATGES'!C64</f>
        <v>10940.435000000001</v>
      </c>
      <c r="D18" s="225">
        <f>'RECAPTACIÓ HABITATGES'!D64</f>
        <v>0</v>
      </c>
      <c r="E18" s="225">
        <f>'RECAPTACIÓ HABITATGES'!E64</f>
        <v>0</v>
      </c>
      <c r="G18" s="521" t="s">
        <v>228</v>
      </c>
      <c r="H18" s="523">
        <v>104</v>
      </c>
      <c r="I18" s="236" t="s">
        <v>229</v>
      </c>
      <c r="J18" s="236" t="s">
        <v>96</v>
      </c>
      <c r="K18" s="236" t="s">
        <v>97</v>
      </c>
      <c r="L18" s="236" t="s">
        <v>191</v>
      </c>
    </row>
    <row r="19" spans="1:12" ht="15.75" thickBot="1">
      <c r="A19" s="545" t="s">
        <v>219</v>
      </c>
      <c r="B19" s="546"/>
      <c r="C19" s="546"/>
      <c r="D19" s="547"/>
      <c r="E19" s="227">
        <f>SUM(E16:E18)</f>
        <v>38028.25</v>
      </c>
      <c r="G19" s="522"/>
      <c r="H19" s="524"/>
      <c r="I19" s="237">
        <v>35</v>
      </c>
      <c r="J19" s="237">
        <v>25</v>
      </c>
      <c r="K19" s="237">
        <v>10</v>
      </c>
      <c r="L19" s="237">
        <v>0</v>
      </c>
    </row>
    <row r="20" spans="1:12" ht="30.75" thickBot="1">
      <c r="A20" s="238" t="s">
        <v>220</v>
      </c>
      <c r="B20" s="239" t="s">
        <v>208</v>
      </c>
      <c r="C20" s="240" t="s">
        <v>144</v>
      </c>
      <c r="D20" s="240" t="s">
        <v>209</v>
      </c>
      <c r="E20" s="240" t="s">
        <v>210</v>
      </c>
      <c r="G20" s="521" t="s">
        <v>195</v>
      </c>
      <c r="H20" s="523">
        <v>52</v>
      </c>
      <c r="I20" s="236" t="s">
        <v>88</v>
      </c>
      <c r="J20" s="236" t="s">
        <v>98</v>
      </c>
      <c r="K20" s="236" t="s">
        <v>85</v>
      </c>
      <c r="L20" s="236" t="s">
        <v>351</v>
      </c>
    </row>
    <row r="21" spans="1:12" ht="15" thickBot="1">
      <c r="A21" s="223" t="s">
        <v>212</v>
      </c>
      <c r="B21" s="224">
        <f>'RECAPTACIÓ HABITATGES'!B66</f>
        <v>0.25</v>
      </c>
      <c r="C21" s="226">
        <f>'RECAPTACIÓ HABITATGES'!C66</f>
        <v>3162.5</v>
      </c>
      <c r="D21" s="225">
        <f>'RECAPTACIÓ HABITATGES'!D66</f>
        <v>10</v>
      </c>
      <c r="E21" s="225">
        <f>'RECAPTACIÓ HABITATGES'!E66</f>
        <v>31625</v>
      </c>
      <c r="G21" s="522"/>
      <c r="H21" s="524"/>
      <c r="I21" s="237">
        <v>20</v>
      </c>
      <c r="J21" s="237">
        <v>15</v>
      </c>
      <c r="K21" s="237">
        <v>5</v>
      </c>
      <c r="L21" s="237">
        <v>0</v>
      </c>
    </row>
    <row r="22" spans="1:12" ht="15" thickBot="1">
      <c r="A22" s="223" t="s">
        <v>214</v>
      </c>
      <c r="B22" s="224">
        <f>'RECAPTACIÓ HABITATGES'!B67</f>
        <v>0.75</v>
      </c>
      <c r="C22" s="226">
        <f>'RECAPTACIÓ HABITATGES'!C67</f>
        <v>9487.5</v>
      </c>
      <c r="D22" s="225">
        <f>'RECAPTACIÓ HABITATGES'!D67</f>
        <v>0</v>
      </c>
      <c r="E22" s="225">
        <f>'RECAPTACIÓ HABITATGES'!E67</f>
        <v>0</v>
      </c>
      <c r="G22" s="521" t="s">
        <v>196</v>
      </c>
      <c r="H22" s="523">
        <v>12</v>
      </c>
      <c r="I22" s="236" t="s">
        <v>88</v>
      </c>
      <c r="J22" s="539" t="s">
        <v>236</v>
      </c>
      <c r="K22" s="540"/>
      <c r="L22" s="236" t="s">
        <v>235</v>
      </c>
    </row>
    <row r="23" spans="1:12" ht="15.75" thickBot="1">
      <c r="A23" s="545" t="s">
        <v>221</v>
      </c>
      <c r="B23" s="546"/>
      <c r="C23" s="546"/>
      <c r="D23" s="547"/>
      <c r="E23" s="227">
        <f>SUM(E21:E22)</f>
        <v>31625</v>
      </c>
      <c r="G23" s="522"/>
      <c r="H23" s="524"/>
      <c r="I23" s="237">
        <v>50</v>
      </c>
      <c r="J23" s="541">
        <v>20</v>
      </c>
      <c r="K23" s="542"/>
      <c r="L23" s="237">
        <v>0</v>
      </c>
    </row>
    <row r="24" spans="1:12" ht="15.75" thickBot="1">
      <c r="A24" s="545" t="s">
        <v>222</v>
      </c>
      <c r="B24" s="546"/>
      <c r="C24" s="546"/>
      <c r="D24" s="547"/>
      <c r="E24" s="227">
        <f>SUM(E8,E14,E19,E23)</f>
        <v>111484.32500000001</v>
      </c>
      <c r="G24" s="527" t="s">
        <v>231</v>
      </c>
      <c r="H24" s="528"/>
      <c r="I24" s="539">
        <v>0</v>
      </c>
      <c r="J24" s="543"/>
      <c r="K24" s="540"/>
      <c r="L24" s="236" t="s">
        <v>101</v>
      </c>
    </row>
    <row r="25" spans="1:12" ht="15" thickBot="1">
      <c r="G25" s="529"/>
      <c r="H25" s="530"/>
      <c r="I25" s="541">
        <v>10</v>
      </c>
      <c r="J25" s="544"/>
      <c r="K25" s="542"/>
      <c r="L25" s="237">
        <v>0</v>
      </c>
    </row>
    <row r="26" spans="1:12" ht="15.75" thickBot="1">
      <c r="G26" s="525" t="s">
        <v>233</v>
      </c>
      <c r="H26" s="526"/>
      <c r="I26" s="235">
        <v>115</v>
      </c>
      <c r="J26" s="235">
        <v>70</v>
      </c>
      <c r="K26" s="235">
        <v>45</v>
      </c>
      <c r="L26" s="235">
        <v>0</v>
      </c>
    </row>
    <row r="27" spans="1:12" ht="13.5" thickBot="1"/>
    <row r="28" spans="1:12" ht="15.75" thickBot="1">
      <c r="A28" s="228" t="s">
        <v>223</v>
      </c>
      <c r="B28" s="229">
        <f>'PART FIXA DOM.'!H43</f>
        <v>2462586.3000323027</v>
      </c>
    </row>
    <row r="29" spans="1:12" ht="15.75" thickBot="1">
      <c r="A29" s="217" t="s">
        <v>222</v>
      </c>
      <c r="B29" s="216">
        <f>E24</f>
        <v>111484.32500000001</v>
      </c>
    </row>
    <row r="30" spans="1:12" ht="15.75" thickBot="1">
      <c r="A30" s="230" t="s">
        <v>93</v>
      </c>
      <c r="B30" s="231">
        <f>B28+B29</f>
        <v>2574070.6250323029</v>
      </c>
    </row>
  </sheetData>
  <mergeCells count="31">
    <mergeCell ref="A24:D24"/>
    <mergeCell ref="A2:E2"/>
    <mergeCell ref="A8:D8"/>
    <mergeCell ref="A14:D14"/>
    <mergeCell ref="A19:D19"/>
    <mergeCell ref="A23:D23"/>
    <mergeCell ref="J22:K22"/>
    <mergeCell ref="I24:K24"/>
    <mergeCell ref="J23:K23"/>
    <mergeCell ref="I25:K25"/>
    <mergeCell ref="G20:G21"/>
    <mergeCell ref="H20:H21"/>
    <mergeCell ref="G1:I2"/>
    <mergeCell ref="J10:K10"/>
    <mergeCell ref="J11:K11"/>
    <mergeCell ref="I12:K12"/>
    <mergeCell ref="I13:K13"/>
    <mergeCell ref="G8:G9"/>
    <mergeCell ref="H8:H9"/>
    <mergeCell ref="G10:G11"/>
    <mergeCell ref="H10:H11"/>
    <mergeCell ref="G18:G19"/>
    <mergeCell ref="H18:H19"/>
    <mergeCell ref="G26:H26"/>
    <mergeCell ref="G6:G7"/>
    <mergeCell ref="H6:H7"/>
    <mergeCell ref="G12:H13"/>
    <mergeCell ref="G14:H14"/>
    <mergeCell ref="G24:H25"/>
    <mergeCell ref="G22:G23"/>
    <mergeCell ref="H22:H2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C2:F42"/>
  <sheetViews>
    <sheetView topLeftCell="B7" workbookViewId="0">
      <selection activeCell="C78" sqref="C78"/>
    </sheetView>
  </sheetViews>
  <sheetFormatPr defaultColWidth="11.42578125" defaultRowHeight="12.75"/>
  <cols>
    <col min="1" max="2" width="11.42578125" style="133"/>
    <col min="3" max="3" width="27.42578125" style="133" bestFit="1" customWidth="1"/>
    <col min="4" max="4" width="16.42578125" style="133" bestFit="1" customWidth="1"/>
    <col min="5" max="5" width="20" style="133" bestFit="1" customWidth="1"/>
    <col min="6" max="6" width="14.5703125" style="133" customWidth="1"/>
    <col min="7" max="16384" width="11.42578125" style="133"/>
  </cols>
  <sheetData>
    <row r="2" spans="3:6" ht="14.25">
      <c r="C2" s="306" t="s">
        <v>324</v>
      </c>
    </row>
    <row r="3" spans="3:6" ht="13.5" thickBot="1"/>
    <row r="4" spans="3:6" ht="15.75" thickBot="1">
      <c r="C4" s="281"/>
      <c r="D4" s="551" t="s">
        <v>80</v>
      </c>
      <c r="E4" s="551"/>
      <c r="F4" s="551"/>
    </row>
    <row r="5" spans="3:6" ht="14.1" customHeight="1" thickBot="1">
      <c r="D5" s="289" t="s">
        <v>186</v>
      </c>
      <c r="E5" s="289" t="s">
        <v>182</v>
      </c>
      <c r="F5" s="289" t="s">
        <v>14</v>
      </c>
    </row>
    <row r="6" spans="3:6" ht="14.1" customHeight="1" thickBot="1">
      <c r="C6" s="290" t="s">
        <v>183</v>
      </c>
      <c r="D6" s="291" t="s">
        <v>184</v>
      </c>
      <c r="E6" s="291" t="s">
        <v>184</v>
      </c>
      <c r="F6" s="292" t="s">
        <v>184</v>
      </c>
    </row>
    <row r="7" spans="3:6" ht="14.1" customHeight="1" thickBot="1">
      <c r="C7" s="293" t="s">
        <v>0</v>
      </c>
      <c r="D7" s="294" t="e">
        <f>-#REF!</f>
        <v>#REF!</v>
      </c>
      <c r="E7" s="295" t="e">
        <f>-#REF!</f>
        <v>#REF!</v>
      </c>
      <c r="F7" s="296" t="e">
        <f>D7+E7</f>
        <v>#REF!</v>
      </c>
    </row>
    <row r="8" spans="3:6" ht="14.1" customHeight="1" thickBot="1">
      <c r="C8" s="293" t="s">
        <v>1</v>
      </c>
      <c r="D8" s="294" t="e">
        <f>-#REF!</f>
        <v>#REF!</v>
      </c>
      <c r="E8" s="295" t="e">
        <f>-#REF!</f>
        <v>#REF!</v>
      </c>
      <c r="F8" s="296" t="e">
        <f t="shared" ref="F8:F19" si="0">D8+E8</f>
        <v>#REF!</v>
      </c>
    </row>
    <row r="9" spans="3:6" ht="14.1" customHeight="1" thickBot="1">
      <c r="C9" s="293" t="s">
        <v>2</v>
      </c>
      <c r="D9" s="294" t="e">
        <f>-#REF!</f>
        <v>#REF!</v>
      </c>
      <c r="E9" s="295" t="e">
        <f>-#REF!</f>
        <v>#REF!</v>
      </c>
      <c r="F9" s="296" t="e">
        <f t="shared" si="0"/>
        <v>#REF!</v>
      </c>
    </row>
    <row r="10" spans="3:6" ht="14.1" customHeight="1" thickBot="1">
      <c r="C10" s="293" t="s">
        <v>12</v>
      </c>
      <c r="D10" s="294" t="e">
        <f>-#REF!</f>
        <v>#REF!</v>
      </c>
      <c r="E10" s="295" t="e">
        <f>-#REF!</f>
        <v>#REF!</v>
      </c>
      <c r="F10" s="296" t="e">
        <f t="shared" si="0"/>
        <v>#REF!</v>
      </c>
    </row>
    <row r="11" spans="3:6" ht="14.1" customHeight="1" thickBot="1">
      <c r="C11" s="293" t="s">
        <v>107</v>
      </c>
      <c r="D11" s="294" t="e">
        <f>-#REF!</f>
        <v>#REF!</v>
      </c>
      <c r="E11" s="295" t="e">
        <f>-#REF!</f>
        <v>#REF!</v>
      </c>
      <c r="F11" s="296" t="e">
        <f t="shared" si="0"/>
        <v>#REF!</v>
      </c>
    </row>
    <row r="12" spans="3:6" ht="14.1" customHeight="1" thickBot="1">
      <c r="C12" s="293" t="s">
        <v>4</v>
      </c>
      <c r="D12" s="294" t="e">
        <f>-#REF!</f>
        <v>#REF!</v>
      </c>
      <c r="E12" s="295" t="e">
        <f>-#REF!</f>
        <v>#REF!</v>
      </c>
      <c r="F12" s="296" t="e">
        <f t="shared" si="0"/>
        <v>#REF!</v>
      </c>
    </row>
    <row r="13" spans="3:6" ht="14.1" customHeight="1" thickBot="1">
      <c r="C13" s="293" t="s">
        <v>5</v>
      </c>
      <c r="D13" s="294" t="e">
        <f>-#REF!</f>
        <v>#REF!</v>
      </c>
      <c r="E13" s="295" t="e">
        <f>-#REF!</f>
        <v>#REF!</v>
      </c>
      <c r="F13" s="296" t="e">
        <f t="shared" si="0"/>
        <v>#REF!</v>
      </c>
    </row>
    <row r="14" spans="3:6" ht="14.1" customHeight="1" thickBot="1">
      <c r="C14" s="293" t="s">
        <v>6</v>
      </c>
      <c r="D14" s="294" t="e">
        <f>-#REF!</f>
        <v>#REF!</v>
      </c>
      <c r="E14" s="295" t="e">
        <f>-#REF!</f>
        <v>#REF!</v>
      </c>
      <c r="F14" s="296" t="e">
        <f t="shared" si="0"/>
        <v>#REF!</v>
      </c>
    </row>
    <row r="15" spans="3:6" ht="14.1" customHeight="1" thickBot="1">
      <c r="C15" s="293" t="s">
        <v>8</v>
      </c>
      <c r="D15" s="294" t="e">
        <f>-#REF!</f>
        <v>#REF!</v>
      </c>
      <c r="E15" s="295" t="e">
        <f>-#REF!</f>
        <v>#REF!</v>
      </c>
      <c r="F15" s="296" t="e">
        <f t="shared" si="0"/>
        <v>#REF!</v>
      </c>
    </row>
    <row r="16" spans="3:6" ht="14.1" customHeight="1" thickBot="1">
      <c r="C16" s="293" t="s">
        <v>9</v>
      </c>
      <c r="D16" s="294" t="e">
        <f>-#REF!</f>
        <v>#REF!</v>
      </c>
      <c r="E16" s="295" t="e">
        <f>-#REF!</f>
        <v>#REF!</v>
      </c>
      <c r="F16" s="296" t="e">
        <f t="shared" si="0"/>
        <v>#REF!</v>
      </c>
    </row>
    <row r="17" spans="3:6" ht="14.1" customHeight="1" thickBot="1">
      <c r="C17" s="293" t="s">
        <v>10</v>
      </c>
      <c r="D17" s="294" t="e">
        <f>-#REF!</f>
        <v>#REF!</v>
      </c>
      <c r="E17" s="295" t="e">
        <f>-#REF!</f>
        <v>#REF!</v>
      </c>
      <c r="F17" s="296" t="e">
        <f t="shared" si="0"/>
        <v>#REF!</v>
      </c>
    </row>
    <row r="18" spans="3:6" ht="14.1" customHeight="1" thickBot="1">
      <c r="C18" s="293" t="s">
        <v>185</v>
      </c>
      <c r="D18" s="294" t="e">
        <f>-#REF!</f>
        <v>#REF!</v>
      </c>
      <c r="E18" s="295" t="e">
        <f>-#REF!</f>
        <v>#REF!</v>
      </c>
      <c r="F18" s="296" t="e">
        <f t="shared" si="0"/>
        <v>#REF!</v>
      </c>
    </row>
    <row r="19" spans="3:6" ht="14.1" customHeight="1" thickBot="1">
      <c r="C19" s="297" t="s">
        <v>108</v>
      </c>
      <c r="D19" s="294" t="e">
        <f>-#REF!</f>
        <v>#REF!</v>
      </c>
      <c r="E19" s="298" t="e">
        <f>-#REF!</f>
        <v>#REF!</v>
      </c>
      <c r="F19" s="299" t="e">
        <f t="shared" si="0"/>
        <v>#REF!</v>
      </c>
    </row>
    <row r="25" spans="3:6" ht="14.25">
      <c r="C25" s="306" t="s">
        <v>325</v>
      </c>
    </row>
    <row r="26" spans="3:6" ht="13.5" thickBot="1"/>
    <row r="27" spans="3:6" ht="15.75" thickBot="1">
      <c r="C27" s="281"/>
      <c r="D27" s="551" t="s">
        <v>80</v>
      </c>
      <c r="E27" s="551"/>
      <c r="F27" s="551"/>
    </row>
    <row r="28" spans="3:6" ht="30.75" thickBot="1">
      <c r="D28" s="289" t="s">
        <v>186</v>
      </c>
      <c r="E28" s="289" t="s">
        <v>182</v>
      </c>
      <c r="F28" s="289" t="s">
        <v>14</v>
      </c>
    </row>
    <row r="29" spans="3:6" ht="15.75" thickBot="1">
      <c r="C29" s="290" t="s">
        <v>183</v>
      </c>
      <c r="D29" s="291" t="s">
        <v>184</v>
      </c>
      <c r="E29" s="291" t="s">
        <v>184</v>
      </c>
      <c r="F29" s="292" t="s">
        <v>184</v>
      </c>
    </row>
    <row r="30" spans="3:6" ht="15" thickBot="1">
      <c r="C30" s="293" t="s">
        <v>0</v>
      </c>
      <c r="D30" s="294">
        <v>120</v>
      </c>
      <c r="E30" s="295" t="e">
        <f>-#REF!</f>
        <v>#REF!</v>
      </c>
      <c r="F30" s="296" t="e">
        <f>D30+E30</f>
        <v>#REF!</v>
      </c>
    </row>
    <row r="31" spans="3:6" ht="15" thickBot="1">
      <c r="C31" s="293" t="s">
        <v>1</v>
      </c>
      <c r="D31" s="294">
        <v>120</v>
      </c>
      <c r="E31" s="295" t="e">
        <f>-#REF!</f>
        <v>#REF!</v>
      </c>
      <c r="F31" s="296" t="e">
        <f t="shared" ref="F31:F42" si="1">D31+E31</f>
        <v>#REF!</v>
      </c>
    </row>
    <row r="32" spans="3:6" ht="15" thickBot="1">
      <c r="C32" s="293" t="s">
        <v>2</v>
      </c>
      <c r="D32" s="294">
        <v>120</v>
      </c>
      <c r="E32" s="295" t="e">
        <f>-#REF!</f>
        <v>#REF!</v>
      </c>
      <c r="F32" s="296" t="e">
        <f t="shared" si="1"/>
        <v>#REF!</v>
      </c>
    </row>
    <row r="33" spans="3:6" ht="15" thickBot="1">
      <c r="C33" s="293" t="s">
        <v>12</v>
      </c>
      <c r="D33" s="294">
        <v>120</v>
      </c>
      <c r="E33" s="295" t="e">
        <f>-#REF!</f>
        <v>#REF!</v>
      </c>
      <c r="F33" s="296" t="e">
        <f t="shared" si="1"/>
        <v>#REF!</v>
      </c>
    </row>
    <row r="34" spans="3:6" ht="15" thickBot="1">
      <c r="C34" s="293" t="s">
        <v>107</v>
      </c>
      <c r="D34" s="294">
        <v>120</v>
      </c>
      <c r="E34" s="295" t="e">
        <f>-#REF!</f>
        <v>#REF!</v>
      </c>
      <c r="F34" s="296" t="e">
        <f t="shared" si="1"/>
        <v>#REF!</v>
      </c>
    </row>
    <row r="35" spans="3:6" ht="15" thickBot="1">
      <c r="C35" s="293" t="s">
        <v>4</v>
      </c>
      <c r="D35" s="294">
        <v>120</v>
      </c>
      <c r="E35" s="295" t="e">
        <f>-#REF!</f>
        <v>#REF!</v>
      </c>
      <c r="F35" s="296" t="e">
        <f t="shared" si="1"/>
        <v>#REF!</v>
      </c>
    </row>
    <row r="36" spans="3:6" ht="15" thickBot="1">
      <c r="C36" s="293" t="s">
        <v>5</v>
      </c>
      <c r="D36" s="294">
        <v>120</v>
      </c>
      <c r="E36" s="295" t="e">
        <f>-#REF!</f>
        <v>#REF!</v>
      </c>
      <c r="F36" s="296" t="e">
        <f t="shared" si="1"/>
        <v>#REF!</v>
      </c>
    </row>
    <row r="37" spans="3:6" ht="15" thickBot="1">
      <c r="C37" s="293" t="s">
        <v>6</v>
      </c>
      <c r="D37" s="294">
        <v>120</v>
      </c>
      <c r="E37" s="295" t="e">
        <f>-#REF!</f>
        <v>#REF!</v>
      </c>
      <c r="F37" s="296" t="e">
        <f t="shared" si="1"/>
        <v>#REF!</v>
      </c>
    </row>
    <row r="38" spans="3:6" ht="15" thickBot="1">
      <c r="C38" s="293" t="s">
        <v>8</v>
      </c>
      <c r="D38" s="294">
        <v>120</v>
      </c>
      <c r="E38" s="295" t="e">
        <f>-#REF!</f>
        <v>#REF!</v>
      </c>
      <c r="F38" s="296" t="e">
        <f t="shared" si="1"/>
        <v>#REF!</v>
      </c>
    </row>
    <row r="39" spans="3:6" ht="15" thickBot="1">
      <c r="C39" s="293" t="s">
        <v>9</v>
      </c>
      <c r="D39" s="294">
        <v>120</v>
      </c>
      <c r="E39" s="295" t="e">
        <f>-#REF!</f>
        <v>#REF!</v>
      </c>
      <c r="F39" s="296" t="e">
        <f t="shared" si="1"/>
        <v>#REF!</v>
      </c>
    </row>
    <row r="40" spans="3:6" ht="15" thickBot="1">
      <c r="C40" s="293" t="s">
        <v>10</v>
      </c>
      <c r="D40" s="294">
        <v>120</v>
      </c>
      <c r="E40" s="295" t="e">
        <f>-#REF!</f>
        <v>#REF!</v>
      </c>
      <c r="F40" s="296" t="e">
        <f t="shared" si="1"/>
        <v>#REF!</v>
      </c>
    </row>
    <row r="41" spans="3:6" ht="29.25" thickBot="1">
      <c r="C41" s="293" t="s">
        <v>185</v>
      </c>
      <c r="D41" s="294">
        <v>120</v>
      </c>
      <c r="E41" s="295" t="e">
        <f>-#REF!</f>
        <v>#REF!</v>
      </c>
      <c r="F41" s="296" t="e">
        <f t="shared" si="1"/>
        <v>#REF!</v>
      </c>
    </row>
    <row r="42" spans="3:6" ht="15" thickBot="1">
      <c r="C42" s="297" t="s">
        <v>108</v>
      </c>
      <c r="D42" s="294">
        <v>120</v>
      </c>
      <c r="E42" s="298" t="e">
        <f>-#REF!</f>
        <v>#REF!</v>
      </c>
      <c r="F42" s="296" t="e">
        <f t="shared" si="1"/>
        <v>#REF!</v>
      </c>
    </row>
  </sheetData>
  <mergeCells count="2">
    <mergeCell ref="D4:F4"/>
    <mergeCell ref="D27:F2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1"/>
  <sheetViews>
    <sheetView workbookViewId="0">
      <selection activeCell="C78" sqref="C78"/>
    </sheetView>
  </sheetViews>
  <sheetFormatPr defaultColWidth="11.42578125" defaultRowHeight="12.75"/>
  <cols>
    <col min="1" max="1" width="41.42578125" style="1" customWidth="1"/>
    <col min="2" max="2" width="18.5703125" style="1" bestFit="1" customWidth="1"/>
    <col min="3" max="3" width="12.5703125" style="1" bestFit="1" customWidth="1"/>
    <col min="4" max="4" width="14" style="1" customWidth="1"/>
    <col min="5" max="5" width="13.5703125" style="1" customWidth="1"/>
    <col min="6" max="6" width="13.42578125" style="1" customWidth="1"/>
    <col min="7" max="8" width="13" style="1" customWidth="1"/>
    <col min="9" max="9" width="13.42578125" style="1" customWidth="1"/>
    <col min="10" max="10" width="13.85546875" style="1" customWidth="1"/>
    <col min="11" max="11" width="13.5703125" style="1" customWidth="1"/>
    <col min="12" max="12" width="12.42578125" style="1" customWidth="1"/>
    <col min="13" max="13" width="11.42578125" style="1" customWidth="1"/>
    <col min="14" max="15" width="13.42578125" style="1" customWidth="1"/>
    <col min="16" max="16" width="22" style="1" bestFit="1" customWidth="1"/>
    <col min="17" max="17" width="13.42578125" style="1" customWidth="1"/>
    <col min="18" max="18" width="18" style="1" bestFit="1" customWidth="1"/>
    <col min="19" max="21" width="13.42578125" style="1" customWidth="1"/>
    <col min="22" max="22" width="29.5703125" style="1" customWidth="1"/>
    <col min="23" max="16384" width="11.42578125" style="1"/>
  </cols>
  <sheetData>
    <row r="1" spans="1:10" s="5" customFormat="1">
      <c r="A1" s="8"/>
      <c r="B1" s="9" t="s">
        <v>18</v>
      </c>
      <c r="C1" s="10" t="s">
        <v>19</v>
      </c>
      <c r="D1" s="10" t="s">
        <v>20</v>
      </c>
      <c r="E1" s="10" t="s">
        <v>33</v>
      </c>
      <c r="F1" s="10" t="s">
        <v>31</v>
      </c>
      <c r="G1" s="10" t="s">
        <v>35</v>
      </c>
      <c r="H1" s="10" t="s">
        <v>21</v>
      </c>
      <c r="I1" s="10" t="s">
        <v>34</v>
      </c>
      <c r="J1" s="29" t="s">
        <v>50</v>
      </c>
    </row>
    <row r="2" spans="1:10" s="5" customFormat="1">
      <c r="A2" s="13" t="s">
        <v>0</v>
      </c>
      <c r="B2" s="2">
        <f>SUM(C2:E2)</f>
        <v>272</v>
      </c>
      <c r="C2" s="2"/>
      <c r="D2" s="2">
        <f>106+64</f>
        <v>170</v>
      </c>
      <c r="E2" s="2">
        <v>102</v>
      </c>
      <c r="F2" s="22">
        <v>2</v>
      </c>
      <c r="G2" s="11"/>
      <c r="H2" s="11">
        <v>20</v>
      </c>
      <c r="I2" s="11">
        <v>10</v>
      </c>
      <c r="J2" s="28">
        <v>56171.506232962165</v>
      </c>
    </row>
    <row r="3" spans="1:10" s="5" customFormat="1">
      <c r="A3" s="13" t="s">
        <v>1</v>
      </c>
      <c r="B3" s="2">
        <f t="shared" ref="B3:B15" si="0">SUM(C3:E3)</f>
        <v>2221</v>
      </c>
      <c r="C3" s="2">
        <v>1589</v>
      </c>
      <c r="D3" s="2">
        <v>337</v>
      </c>
      <c r="E3" s="2">
        <v>295</v>
      </c>
      <c r="F3" s="22">
        <v>5</v>
      </c>
      <c r="G3" s="11">
        <v>84</v>
      </c>
      <c r="H3" s="11">
        <v>2</v>
      </c>
      <c r="I3" s="11">
        <v>11</v>
      </c>
      <c r="J3" s="28">
        <v>398507.34748661553</v>
      </c>
    </row>
    <row r="4" spans="1:10" s="5" customFormat="1">
      <c r="A4" s="13" t="s">
        <v>2</v>
      </c>
      <c r="B4" s="2">
        <f t="shared" si="0"/>
        <v>745</v>
      </c>
      <c r="C4" s="2">
        <v>697</v>
      </c>
      <c r="D4" s="2"/>
      <c r="E4" s="2">
        <v>48</v>
      </c>
      <c r="F4" s="22">
        <v>1</v>
      </c>
      <c r="G4" s="11">
        <v>55</v>
      </c>
      <c r="H4" s="11"/>
      <c r="I4" s="11">
        <v>3</v>
      </c>
      <c r="J4" s="28">
        <v>148032.19578232316</v>
      </c>
    </row>
    <row r="5" spans="1:10" s="5" customFormat="1">
      <c r="A5" s="13" t="s">
        <v>12</v>
      </c>
      <c r="B5" s="2">
        <f t="shared" si="0"/>
        <v>112</v>
      </c>
      <c r="C5" s="2"/>
      <c r="D5" s="2">
        <v>100</v>
      </c>
      <c r="E5" s="2">
        <v>12</v>
      </c>
      <c r="F5" s="22">
        <v>2</v>
      </c>
      <c r="G5" s="11"/>
      <c r="H5" s="11">
        <v>37</v>
      </c>
      <c r="I5" s="11">
        <v>9</v>
      </c>
      <c r="J5" s="28">
        <v>38462.481470433224</v>
      </c>
    </row>
    <row r="6" spans="1:10" s="5" customFormat="1">
      <c r="A6" s="13" t="s">
        <v>3</v>
      </c>
      <c r="B6" s="2">
        <f t="shared" si="0"/>
        <v>425</v>
      </c>
      <c r="C6" s="2">
        <v>332</v>
      </c>
      <c r="D6" s="2"/>
      <c r="E6" s="2">
        <v>93</v>
      </c>
      <c r="F6" s="22">
        <v>1</v>
      </c>
      <c r="G6" s="11">
        <v>35</v>
      </c>
      <c r="H6" s="11"/>
      <c r="I6" s="11">
        <v>2</v>
      </c>
      <c r="J6" s="28">
        <v>84428.640462506766</v>
      </c>
    </row>
    <row r="7" spans="1:10" s="5" customFormat="1">
      <c r="A7" s="13" t="s">
        <v>4</v>
      </c>
      <c r="B7" s="2">
        <f t="shared" si="0"/>
        <v>492</v>
      </c>
      <c r="C7" s="2">
        <v>482</v>
      </c>
      <c r="D7" s="2"/>
      <c r="E7" s="2">
        <v>10</v>
      </c>
      <c r="F7" s="22">
        <v>0.5</v>
      </c>
      <c r="G7" s="11">
        <v>57</v>
      </c>
      <c r="H7" s="11"/>
      <c r="I7" s="11">
        <v>1</v>
      </c>
      <c r="J7" s="28">
        <v>110883.7191684944</v>
      </c>
    </row>
    <row r="8" spans="1:10" s="5" customFormat="1">
      <c r="A8" s="13" t="s">
        <v>5</v>
      </c>
      <c r="B8" s="2">
        <f t="shared" si="0"/>
        <v>947</v>
      </c>
      <c r="C8" s="2">
        <v>761</v>
      </c>
      <c r="D8" s="2">
        <v>113</v>
      </c>
      <c r="E8" s="2">
        <v>73</v>
      </c>
      <c r="F8" s="22">
        <v>2</v>
      </c>
      <c r="G8" s="11">
        <v>23</v>
      </c>
      <c r="H8" s="11">
        <v>5</v>
      </c>
      <c r="I8" s="11">
        <v>3</v>
      </c>
      <c r="J8" s="28">
        <v>169284.4612042213</v>
      </c>
    </row>
    <row r="9" spans="1:10" s="5" customFormat="1">
      <c r="A9" s="13" t="s">
        <v>6</v>
      </c>
      <c r="B9" s="2">
        <f t="shared" si="0"/>
        <v>142</v>
      </c>
      <c r="C9" s="2">
        <v>108</v>
      </c>
      <c r="D9" s="2"/>
      <c r="E9" s="2">
        <v>34</v>
      </c>
      <c r="F9" s="2">
        <v>0</v>
      </c>
      <c r="G9" s="11">
        <v>14</v>
      </c>
      <c r="H9" s="11"/>
      <c r="I9" s="11">
        <v>8</v>
      </c>
      <c r="J9" s="28">
        <v>29520.416824705862</v>
      </c>
    </row>
    <row r="10" spans="1:10" s="5" customFormat="1">
      <c r="A10" s="13" t="s">
        <v>36</v>
      </c>
      <c r="B10" s="2">
        <f t="shared" si="0"/>
        <v>263</v>
      </c>
      <c r="C10" s="2">
        <f>15+138</f>
        <v>153</v>
      </c>
      <c r="D10" s="2"/>
      <c r="E10" s="2">
        <v>110</v>
      </c>
      <c r="F10" s="22">
        <v>2</v>
      </c>
      <c r="G10" s="11">
        <v>30</v>
      </c>
      <c r="H10" s="11"/>
      <c r="I10" s="11">
        <v>24</v>
      </c>
      <c r="J10" s="28">
        <v>59518.250890392657</v>
      </c>
    </row>
    <row r="11" spans="1:10" s="5" customFormat="1">
      <c r="A11" s="13" t="s">
        <v>8</v>
      </c>
      <c r="B11" s="2">
        <f t="shared" si="0"/>
        <v>1431</v>
      </c>
      <c r="C11" s="2">
        <f>1246-15</f>
        <v>1231</v>
      </c>
      <c r="D11" s="2"/>
      <c r="E11" s="2">
        <f>170+30</f>
        <v>200</v>
      </c>
      <c r="F11" s="22">
        <v>4</v>
      </c>
      <c r="G11" s="11">
        <f>27+75-6</f>
        <v>96</v>
      </c>
      <c r="H11" s="11"/>
      <c r="I11" s="11">
        <v>14</v>
      </c>
      <c r="J11" s="28">
        <v>273783.9450520323</v>
      </c>
    </row>
    <row r="12" spans="1:10" s="5" customFormat="1">
      <c r="A12" s="13" t="s">
        <v>9</v>
      </c>
      <c r="B12" s="2">
        <f t="shared" si="0"/>
        <v>1394</v>
      </c>
      <c r="C12" s="2">
        <v>935</v>
      </c>
      <c r="D12" s="2">
        <v>207</v>
      </c>
      <c r="E12" s="2">
        <v>252</v>
      </c>
      <c r="F12" s="22">
        <v>4</v>
      </c>
      <c r="G12" s="11">
        <v>82</v>
      </c>
      <c r="H12" s="11">
        <v>10</v>
      </c>
      <c r="I12" s="11">
        <v>16</v>
      </c>
      <c r="J12" s="28">
        <v>300271.83449761028</v>
      </c>
    </row>
    <row r="13" spans="1:10" s="5" customFormat="1">
      <c r="A13" s="13" t="s">
        <v>10</v>
      </c>
      <c r="B13" s="2">
        <f t="shared" si="0"/>
        <v>213</v>
      </c>
      <c r="C13" s="2">
        <v>206</v>
      </c>
      <c r="D13" s="2"/>
      <c r="E13" s="2">
        <v>7</v>
      </c>
      <c r="F13" s="22">
        <v>0.5</v>
      </c>
      <c r="G13" s="11">
        <v>30</v>
      </c>
      <c r="H13" s="11">
        <v>6</v>
      </c>
      <c r="I13" s="11"/>
      <c r="J13" s="28">
        <v>54296.452878047443</v>
      </c>
    </row>
    <row r="14" spans="1:10" s="5" customFormat="1">
      <c r="A14" s="13" t="s">
        <v>11</v>
      </c>
      <c r="B14" s="2">
        <f t="shared" si="0"/>
        <v>1346</v>
      </c>
      <c r="C14" s="2">
        <v>760</v>
      </c>
      <c r="D14" s="2">
        <v>489</v>
      </c>
      <c r="E14" s="2">
        <v>97</v>
      </c>
      <c r="F14" s="22">
        <v>1</v>
      </c>
      <c r="G14" s="11">
        <f>235-90</f>
        <v>145</v>
      </c>
      <c r="H14" s="11">
        <v>77</v>
      </c>
      <c r="I14" s="11">
        <v>22</v>
      </c>
      <c r="J14" s="28">
        <v>372250.36332006345</v>
      </c>
    </row>
    <row r="15" spans="1:10" s="5" customFormat="1">
      <c r="A15" s="13" t="s">
        <v>13</v>
      </c>
      <c r="B15" s="2">
        <f t="shared" si="0"/>
        <v>2116</v>
      </c>
      <c r="C15" s="2">
        <v>2093</v>
      </c>
      <c r="D15" s="2"/>
      <c r="E15" s="2">
        <v>23</v>
      </c>
      <c r="F15" s="22">
        <v>1</v>
      </c>
      <c r="G15" s="11">
        <f>84+90</f>
        <v>174</v>
      </c>
      <c r="H15" s="11"/>
      <c r="I15" s="11">
        <v>2</v>
      </c>
      <c r="J15" s="28">
        <v>421765.64978484862</v>
      </c>
    </row>
    <row r="16" spans="1:10" s="5" customFormat="1">
      <c r="A16" s="3"/>
      <c r="B16" s="3">
        <v>12097</v>
      </c>
      <c r="C16" s="3">
        <f>SUM(C2:C15)</f>
        <v>9347</v>
      </c>
      <c r="D16" s="3">
        <f t="shared" ref="D16:I16" si="1">SUM(D2:D15)</f>
        <v>1416</v>
      </c>
      <c r="E16" s="23">
        <f>SUM(E2:E15)</f>
        <v>1356</v>
      </c>
      <c r="F16" s="3">
        <f t="shared" si="1"/>
        <v>26</v>
      </c>
      <c r="G16" s="3">
        <f t="shared" si="1"/>
        <v>825</v>
      </c>
      <c r="H16" s="3">
        <f t="shared" si="1"/>
        <v>157</v>
      </c>
      <c r="I16" s="3">
        <f t="shared" si="1"/>
        <v>125</v>
      </c>
      <c r="J16" s="12">
        <f>SUM(J2:J15)</f>
        <v>2517177.2650552574</v>
      </c>
    </row>
    <row r="17" s="5" customFormat="1"/>
    <row r="18" s="5" customFormat="1"/>
    <row r="19" s="5" customFormat="1"/>
    <row r="20" s="5" customFormat="1"/>
    <row r="21" s="5" customFormat="1"/>
    <row r="22" s="5" customFormat="1"/>
    <row r="23" s="5" customFormat="1"/>
    <row r="24" s="5" customFormat="1"/>
    <row r="25" s="5" customFormat="1"/>
    <row r="26" s="5" customFormat="1"/>
    <row r="27" s="5" customFormat="1"/>
    <row r="28" s="5" customFormat="1"/>
    <row r="29" s="5" customFormat="1"/>
    <row r="30" s="5" customFormat="1"/>
    <row r="31" s="5" customFormat="1"/>
    <row r="32" s="5" customFormat="1"/>
    <row r="33" s="5" customFormat="1"/>
    <row r="34" s="5" customFormat="1"/>
    <row r="35" s="5" customFormat="1"/>
    <row r="36" s="5" customFormat="1"/>
    <row r="37" s="5" customFormat="1"/>
    <row r="38" s="5" customFormat="1"/>
    <row r="39" s="5" customFormat="1"/>
    <row r="40" s="5" customFormat="1"/>
    <row r="41" s="5" customFormat="1"/>
    <row r="42" s="5" customFormat="1"/>
    <row r="43" s="5" customFormat="1"/>
    <row r="44" s="5" customFormat="1"/>
    <row r="45" s="5" customFormat="1"/>
    <row r="46" s="5" customFormat="1"/>
    <row r="47" s="5" customFormat="1"/>
    <row r="48" s="5" customFormat="1"/>
    <row r="49" s="5" customFormat="1"/>
    <row r="50" s="5" customFormat="1"/>
    <row r="51" s="5" customFormat="1"/>
    <row r="52" s="5" customFormat="1"/>
    <row r="53" s="5" customFormat="1"/>
    <row r="54" s="5" customFormat="1"/>
    <row r="55" s="5" customFormat="1"/>
    <row r="56" s="5" customFormat="1"/>
    <row r="57" s="5" customFormat="1"/>
    <row r="58" s="5" customFormat="1"/>
    <row r="59" s="5" customFormat="1"/>
    <row r="60" s="5" customFormat="1"/>
    <row r="61" s="5" customFormat="1"/>
    <row r="62" s="5" customFormat="1"/>
    <row r="63" s="5" customFormat="1"/>
    <row r="64" s="5" customFormat="1"/>
    <row r="65" s="5" customFormat="1"/>
    <row r="66" s="5" customFormat="1"/>
    <row r="67" s="5" customFormat="1"/>
    <row r="68" s="5" customFormat="1"/>
    <row r="69" s="5" customFormat="1"/>
    <row r="70" s="5" customFormat="1"/>
    <row r="71" s="5" customFormat="1"/>
    <row r="72" s="5" customFormat="1"/>
    <row r="73" s="5" customFormat="1"/>
    <row r="74" s="5" customFormat="1"/>
    <row r="75" s="5" customFormat="1"/>
    <row r="76" s="5" customFormat="1"/>
    <row r="77" s="5" customFormat="1"/>
    <row r="78" s="5" customFormat="1"/>
    <row r="79" s="5" customFormat="1"/>
    <row r="80" s="5" customFormat="1"/>
    <row r="81" s="5" customFormat="1"/>
    <row r="82" s="5" customFormat="1"/>
    <row r="83" s="5" customFormat="1"/>
    <row r="84" s="5" customFormat="1"/>
    <row r="85" s="5" customFormat="1"/>
    <row r="86" s="5" customFormat="1"/>
    <row r="87" s="5" customFormat="1"/>
    <row r="88" s="5" customFormat="1"/>
    <row r="89" s="5" customFormat="1"/>
    <row r="90" s="5" customFormat="1"/>
    <row r="91" s="5" customFormat="1"/>
    <row r="92" s="5" customFormat="1"/>
    <row r="93" s="5" customFormat="1"/>
    <row r="94" s="5" customFormat="1"/>
    <row r="95" s="5" customFormat="1"/>
    <row r="96" s="5" customFormat="1"/>
    <row r="97" s="5" customFormat="1"/>
    <row r="98" s="5" customFormat="1"/>
    <row r="99" s="5" customFormat="1"/>
    <row r="100" s="5" customFormat="1"/>
    <row r="101" s="5" customFormat="1"/>
    <row r="102" s="5" customFormat="1"/>
    <row r="103" s="5" customFormat="1"/>
    <row r="104" s="5" customFormat="1"/>
    <row r="105" s="5" customFormat="1"/>
    <row r="106" s="5" customFormat="1"/>
    <row r="107" s="5" customFormat="1"/>
    <row r="108" s="5" customFormat="1"/>
    <row r="109" s="5" customFormat="1"/>
    <row r="110" s="5" customFormat="1"/>
    <row r="111" s="5" customFormat="1"/>
    <row r="112" s="5" customFormat="1"/>
    <row r="113" s="5" customFormat="1"/>
    <row r="114" s="5" customFormat="1"/>
    <row r="115" s="5" customFormat="1"/>
    <row r="116" s="5" customFormat="1"/>
    <row r="117" s="5" customFormat="1"/>
    <row r="118" s="5" customFormat="1"/>
    <row r="119" s="5" customFormat="1"/>
    <row r="120" s="5" customFormat="1"/>
    <row r="121" s="5" customFormat="1"/>
    <row r="122" s="5" customFormat="1"/>
    <row r="123" s="5" customFormat="1"/>
    <row r="124" s="5" customFormat="1"/>
    <row r="125" s="5" customFormat="1"/>
    <row r="126" s="5" customFormat="1"/>
    <row r="127" s="5" customFormat="1"/>
    <row r="128" s="5" customFormat="1"/>
    <row r="129" s="5" customFormat="1"/>
    <row r="130" s="5" customFormat="1"/>
    <row r="131" s="5" customFormat="1"/>
    <row r="132" s="5" customFormat="1"/>
    <row r="133" s="5" customFormat="1"/>
    <row r="134" s="5" customFormat="1"/>
    <row r="135" s="5" customFormat="1"/>
    <row r="136" s="5" customFormat="1"/>
    <row r="137" s="5" customFormat="1"/>
    <row r="138" s="5" customFormat="1"/>
    <row r="139" s="5" customFormat="1"/>
    <row r="140" s="5" customFormat="1"/>
    <row r="141" s="5" customFormat="1"/>
    <row r="142" s="5" customFormat="1"/>
    <row r="143" s="5" customFormat="1"/>
    <row r="144" s="5" customFormat="1"/>
    <row r="145" s="5" customFormat="1"/>
    <row r="146" s="5" customFormat="1"/>
    <row r="147" s="5" customFormat="1"/>
    <row r="148" s="5" customFormat="1"/>
    <row r="149" s="5" customFormat="1"/>
    <row r="150" s="5" customFormat="1"/>
    <row r="151" s="5" customFormat="1"/>
    <row r="152" s="5" customFormat="1"/>
    <row r="153" s="5" customFormat="1"/>
    <row r="154" s="5" customFormat="1"/>
    <row r="155" s="5" customFormat="1"/>
    <row r="156" s="5" customFormat="1"/>
    <row r="157" s="5" customFormat="1"/>
    <row r="158" s="5" customFormat="1"/>
    <row r="159" s="5" customFormat="1"/>
    <row r="160" s="5" customFormat="1"/>
    <row r="161" s="5" customFormat="1"/>
    <row r="162" s="5" customFormat="1"/>
    <row r="163" s="5" customFormat="1"/>
    <row r="164" s="5" customFormat="1"/>
    <row r="165" s="5" customFormat="1"/>
    <row r="166" s="5" customFormat="1"/>
    <row r="167" s="5" customFormat="1"/>
    <row r="168" s="5" customFormat="1"/>
    <row r="169" s="5" customFormat="1"/>
    <row r="170" s="5" customFormat="1"/>
    <row r="171" s="5" customFormat="1"/>
    <row r="172" s="5" customFormat="1"/>
    <row r="173" s="5" customFormat="1"/>
    <row r="174" s="5" customFormat="1"/>
    <row r="175" s="5" customFormat="1"/>
    <row r="176" s="5" customFormat="1"/>
    <row r="177" spans="1:4" s="5" customFormat="1"/>
    <row r="178" spans="1:4" s="5" customFormat="1"/>
    <row r="179" spans="1:4" s="5" customFormat="1"/>
    <row r="180" spans="1:4" s="5" customFormat="1">
      <c r="A180" s="1"/>
      <c r="B180" s="1"/>
      <c r="C180" s="1"/>
      <c r="D180" s="1"/>
    </row>
    <row r="181" spans="1:4" s="5" customFormat="1">
      <c r="A181" s="1"/>
      <c r="B181" s="1"/>
      <c r="C181" s="1"/>
      <c r="D181" s="1"/>
    </row>
  </sheetData>
  <phoneticPr fontId="25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4:B10"/>
  <sheetViews>
    <sheetView workbookViewId="0">
      <selection activeCell="C13" sqref="C13"/>
    </sheetView>
  </sheetViews>
  <sheetFormatPr defaultColWidth="11.42578125" defaultRowHeight="12.75"/>
  <cols>
    <col min="1" max="1" width="22.5703125" customWidth="1"/>
  </cols>
  <sheetData>
    <row r="4" spans="1:2">
      <c r="A4" t="s">
        <v>278</v>
      </c>
      <c r="B4" t="s">
        <v>345</v>
      </c>
    </row>
    <row r="5" spans="1:2">
      <c r="A5" t="s">
        <v>107</v>
      </c>
      <c r="B5">
        <v>1</v>
      </c>
    </row>
    <row r="6" spans="1:2">
      <c r="A6" t="s">
        <v>5</v>
      </c>
      <c r="B6">
        <v>2</v>
      </c>
    </row>
    <row r="7" spans="1:2">
      <c r="A7" t="s">
        <v>9</v>
      </c>
      <c r="B7">
        <v>4</v>
      </c>
    </row>
    <row r="8" spans="1:2">
      <c r="A8" t="s">
        <v>11</v>
      </c>
      <c r="B8">
        <v>4</v>
      </c>
    </row>
    <row r="9" spans="1:2">
      <c r="A9" t="s">
        <v>108</v>
      </c>
      <c r="B9">
        <v>4</v>
      </c>
    </row>
    <row r="10" spans="1:2">
      <c r="A10" t="s">
        <v>14</v>
      </c>
      <c r="B10">
        <f>SUM(B5:B9)</f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15</vt:i4>
      </vt:variant>
      <vt:variant>
        <vt:lpstr>Intervals amb nom</vt:lpstr>
      </vt:variant>
      <vt:variant>
        <vt:i4>8</vt:i4>
      </vt:variant>
    </vt:vector>
  </HeadingPairs>
  <TitlesOfParts>
    <vt:vector size="23" baseType="lpstr">
      <vt:lpstr>DESPESES GLOBALS</vt:lpstr>
      <vt:lpstr>DESPESES ESPECÍFIQUES</vt:lpstr>
      <vt:lpstr>INGRESSOS SERVEIS</vt:lpstr>
      <vt:lpstr>COST SERVEI</vt:lpstr>
      <vt:lpstr>RECAPTACIÓ HABITATGES</vt:lpstr>
      <vt:lpstr>RECAPTACIÓ COMERCIAL </vt:lpstr>
      <vt:lpstr>CÀLCUL QUOTES set25</vt:lpstr>
      <vt:lpstr>BALANÇ FINAL set25</vt:lpstr>
      <vt:lpstr>Extres</vt:lpstr>
      <vt:lpstr>DESPESES SERVEIS</vt:lpstr>
      <vt:lpstr>PART FIXA DOM.</vt:lpstr>
      <vt:lpstr>PART VARIABLE DOM.</vt:lpstr>
      <vt:lpstr>Part fixa+específica</vt:lpstr>
      <vt:lpstr>import de licitació</vt:lpstr>
      <vt:lpstr>BANYERES PODA</vt:lpstr>
      <vt:lpstr>'BALANÇ FINAL set25'!Àrea_d'impressió</vt:lpstr>
      <vt:lpstr>'CÀLCUL QUOTES set25'!Àrea_d'impressió</vt:lpstr>
      <vt:lpstr>'COST SERVEI'!Àrea_d'impressió</vt:lpstr>
      <vt:lpstr>'DESPESES ESPECÍFIQUES'!Àrea_d'impressió</vt:lpstr>
      <vt:lpstr>'DESPESES GLOBALS'!Àrea_d'impressió</vt:lpstr>
      <vt:lpstr>'INGRESSOS SERVEIS'!Àrea_d'impressió</vt:lpstr>
      <vt:lpstr>'RECAPTACIÓ COMERCIAL '!Àrea_d'impressió</vt:lpstr>
      <vt:lpstr>'RECAPTACIÓ HABITATGES'!Àrea_d'impressió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</dc:creator>
  <cp:lastModifiedBy>Laia Noguer [Àrea de Medi Ambient - Consell Comarcal d</cp:lastModifiedBy>
  <cp:revision>0</cp:revision>
  <cp:lastPrinted>2026-10-07T07:03:15Z</cp:lastPrinted>
  <dcterms:created xsi:type="dcterms:W3CDTF">2020-02-04T09:42:23Z</dcterms:created>
  <dcterms:modified xsi:type="dcterms:W3CDTF">2026-10-07T11:15:49Z</dcterms:modified>
  <dc:language>es-ES</dc:language>
</cp:coreProperties>
</file>