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0" yWindow="-20" windowWidth="20420" windowHeight="6410" tabRatio="899"/>
  </bookViews>
  <sheets>
    <sheet name="DESPESES GLOBALS" sheetId="42" r:id="rId1"/>
    <sheet name="DESPESES ESPECÍFIQUES" sheetId="43" r:id="rId2"/>
    <sheet name="INGRESSOS SERVEIS" sheetId="33" r:id="rId3"/>
    <sheet name="COST SERVEI" sheetId="36" r:id="rId4"/>
    <sheet name="RECAPTACIÓ HABITATGES" sheetId="37" r:id="rId5"/>
    <sheet name="RECAPTACIÓ COMERCIAL " sheetId="47" r:id="rId6"/>
    <sheet name="CÀLCUL QUOTES set25" sheetId="52" r:id="rId7"/>
    <sheet name="BALANÇ FINAL set25" sheetId="53" r:id="rId8"/>
    <sheet name="Extres" sheetId="50" state="hidden" r:id="rId9"/>
    <sheet name="DESPESES SERVEIS" sheetId="31" state="hidden" r:id="rId10"/>
    <sheet name="PART FIXA DOM." sheetId="48" state="hidden" r:id="rId11"/>
    <sheet name="PART VARIABLE DOM." sheetId="49" state="hidden" r:id="rId12"/>
    <sheet name="Part fixa+específica" sheetId="45" state="hidden" r:id="rId13"/>
    <sheet name="import de licitació" sheetId="6" state="hidden" r:id="rId14"/>
    <sheet name="BANYERES PODA" sheetId="51" state="hidden" r:id="rId15"/>
  </sheets>
  <externalReferences>
    <externalReference r:id="rId16"/>
  </externalReferences>
  <definedNames>
    <definedName name="_xlnm._FilterDatabase" localSheetId="8" hidden="1">Extres!$A$5:$K$60</definedName>
  </definedNames>
  <calcPr calcId="145621"/>
</workbook>
</file>

<file path=xl/calcChain.xml><?xml version="1.0" encoding="utf-8"?>
<calcChain xmlns="http://schemas.openxmlformats.org/spreadsheetml/2006/main">
  <c r="R31" i="52" l="1"/>
  <c r="R32" i="52"/>
  <c r="B90" i="43"/>
  <c r="C90" i="43"/>
  <c r="B91" i="43"/>
  <c r="C91" i="43"/>
  <c r="C76" i="43"/>
  <c r="D76" i="43"/>
  <c r="B77" i="43"/>
  <c r="C77" i="43"/>
  <c r="D77" i="43"/>
  <c r="E77" i="43"/>
  <c r="B78" i="43"/>
  <c r="C78" i="43"/>
  <c r="D78" i="43"/>
  <c r="E78" i="43"/>
  <c r="B79" i="43"/>
  <c r="C79" i="43"/>
  <c r="D79" i="43"/>
  <c r="E79" i="43"/>
  <c r="C80" i="43"/>
  <c r="E80" i="43"/>
  <c r="C75" i="43"/>
  <c r="E75" i="43"/>
  <c r="C66" i="43"/>
  <c r="D66" i="43"/>
  <c r="E66" i="43"/>
  <c r="B67" i="43"/>
  <c r="C67" i="43"/>
  <c r="D67" i="43"/>
  <c r="E67" i="43"/>
  <c r="B68" i="43"/>
  <c r="C68" i="43"/>
  <c r="D68" i="43"/>
  <c r="E68" i="43"/>
  <c r="B69" i="43"/>
  <c r="D69" i="43"/>
  <c r="D64" i="43"/>
  <c r="E64" i="43"/>
  <c r="B54" i="43"/>
  <c r="C54" i="43"/>
  <c r="D54" i="43"/>
  <c r="E54" i="43"/>
  <c r="B55" i="43"/>
  <c r="C55" i="43"/>
  <c r="D55" i="43"/>
  <c r="E55" i="43"/>
  <c r="B56" i="43"/>
  <c r="C56" i="43"/>
  <c r="D56" i="43"/>
  <c r="E56" i="43"/>
  <c r="B57" i="43"/>
  <c r="E57" i="43"/>
  <c r="D52" i="43"/>
  <c r="E52" i="43"/>
  <c r="B52" i="43"/>
  <c r="C74" i="43"/>
  <c r="E74" i="43"/>
  <c r="C63" i="43"/>
  <c r="D63" i="43"/>
  <c r="E63" i="43"/>
  <c r="C51" i="43"/>
  <c r="D51" i="43"/>
  <c r="E51" i="43"/>
  <c r="B51" i="43"/>
  <c r="D73" i="43"/>
  <c r="D91" i="43" l="1"/>
  <c r="D90" i="43"/>
  <c r="C7" i="42"/>
  <c r="P33" i="52"/>
  <c r="B92" i="43" s="1"/>
  <c r="D29" i="52" l="1"/>
  <c r="B53" i="43" l="1"/>
  <c r="P26" i="52"/>
  <c r="B86" i="43" s="1"/>
  <c r="P30" i="52"/>
  <c r="B89" i="43" s="1"/>
  <c r="H30" i="52"/>
  <c r="B66" i="43" l="1"/>
  <c r="Q27" i="52"/>
  <c r="Q30" i="52"/>
  <c r="C89" i="43" s="1"/>
  <c r="Q28" i="52"/>
  <c r="C87" i="43" s="1"/>
  <c r="Q33" i="52"/>
  <c r="C92" i="43" s="1"/>
  <c r="R19" i="52"/>
  <c r="B3" i="33" s="1"/>
  <c r="R30" i="52" l="1"/>
  <c r="D89" i="43"/>
  <c r="N33" i="52"/>
  <c r="D80" i="43" s="1"/>
  <c r="N26" i="52"/>
  <c r="D74" i="43" s="1"/>
  <c r="L26" i="52" l="1"/>
  <c r="B74" i="43" s="1"/>
  <c r="L28" i="52"/>
  <c r="B75" i="43" s="1"/>
  <c r="D25" i="52" l="1"/>
  <c r="B50" i="43" s="1"/>
  <c r="B136" i="47" l="1"/>
  <c r="F136" i="47"/>
  <c r="E136" i="47"/>
  <c r="D136" i="47"/>
  <c r="G122" i="47"/>
  <c r="G121" i="47"/>
  <c r="G120" i="47"/>
  <c r="G123" i="47" l="1"/>
  <c r="G124" i="47"/>
  <c r="G125" i="47"/>
  <c r="G126" i="47"/>
  <c r="G127" i="47"/>
  <c r="G128" i="47"/>
  <c r="G129" i="47"/>
  <c r="G130" i="47"/>
  <c r="G131" i="47"/>
  <c r="G132" i="47"/>
  <c r="G133" i="47"/>
  <c r="G134" i="47"/>
  <c r="G135" i="47"/>
  <c r="C133" i="47"/>
  <c r="C121" i="47"/>
  <c r="C132" i="47"/>
  <c r="C131" i="47"/>
  <c r="C129" i="47"/>
  <c r="C128" i="47"/>
  <c r="C123" i="47"/>
  <c r="C124" i="47"/>
  <c r="C125" i="47"/>
  <c r="C126" i="47"/>
  <c r="C127" i="47"/>
  <c r="C120" i="47"/>
  <c r="G136" i="47" l="1"/>
  <c r="G137" i="47" s="1"/>
  <c r="C136" i="47"/>
  <c r="B151" i="47"/>
  <c r="B150" i="47"/>
  <c r="Q52" i="53" l="1"/>
  <c r="R20" i="52"/>
  <c r="B4" i="33" s="1"/>
  <c r="R23" i="52"/>
  <c r="B7" i="33" s="1"/>
  <c r="R22" i="52"/>
  <c r="B6" i="33" s="1"/>
  <c r="D5" i="52" l="1"/>
  <c r="D4" i="52"/>
  <c r="E48" i="50" l="1"/>
  <c r="D48" i="50" s="1"/>
  <c r="D34" i="50"/>
  <c r="E33" i="52"/>
  <c r="F33" i="52"/>
  <c r="D57" i="43" s="1"/>
  <c r="C57" i="43" l="1"/>
  <c r="Q29" i="52"/>
  <c r="C88" i="43" s="1"/>
  <c r="P29" i="52"/>
  <c r="B88" i="43" s="1"/>
  <c r="O29" i="52"/>
  <c r="E76" i="43" s="1"/>
  <c r="L29" i="52"/>
  <c r="B76" i="43" s="1"/>
  <c r="K29" i="52"/>
  <c r="E65" i="43" s="1"/>
  <c r="J29" i="52"/>
  <c r="D65" i="43" s="1"/>
  <c r="I29" i="52"/>
  <c r="C65" i="43" s="1"/>
  <c r="H29" i="52"/>
  <c r="B65" i="43" s="1"/>
  <c r="G29" i="52"/>
  <c r="E53" i="43" s="1"/>
  <c r="F29" i="52"/>
  <c r="D53" i="43" s="1"/>
  <c r="E29" i="52"/>
  <c r="H28" i="52"/>
  <c r="B64" i="43" s="1"/>
  <c r="H27" i="52"/>
  <c r="K33" i="52"/>
  <c r="E69" i="43" s="1"/>
  <c r="I33" i="52"/>
  <c r="C69" i="43" s="1"/>
  <c r="K50" i="53"/>
  <c r="K54" i="53" s="1"/>
  <c r="L41" i="53"/>
  <c r="F41" i="53"/>
  <c r="D41" i="53"/>
  <c r="E41" i="53" s="1"/>
  <c r="L40" i="53"/>
  <c r="F40" i="53"/>
  <c r="D40" i="53"/>
  <c r="E40" i="53" s="1"/>
  <c r="L39" i="53"/>
  <c r="F39" i="53"/>
  <c r="D39" i="53"/>
  <c r="E39" i="53" s="1"/>
  <c r="L38" i="53"/>
  <c r="F38" i="53"/>
  <c r="D38" i="53"/>
  <c r="E38" i="53" s="1"/>
  <c r="L37" i="53"/>
  <c r="F37" i="53"/>
  <c r="D37" i="53"/>
  <c r="E37" i="53" s="1"/>
  <c r="L36" i="53"/>
  <c r="F36" i="53"/>
  <c r="D36" i="53"/>
  <c r="E36" i="53" s="1"/>
  <c r="L35" i="53"/>
  <c r="F35" i="53"/>
  <c r="D35" i="53"/>
  <c r="E35" i="53" s="1"/>
  <c r="L34" i="53"/>
  <c r="F34" i="53"/>
  <c r="D34" i="53"/>
  <c r="E34" i="53" s="1"/>
  <c r="L33" i="53"/>
  <c r="F33" i="53"/>
  <c r="D33" i="53"/>
  <c r="E33" i="53" s="1"/>
  <c r="L32" i="53"/>
  <c r="F32" i="53"/>
  <c r="D32" i="53"/>
  <c r="E32" i="53" s="1"/>
  <c r="L31" i="53"/>
  <c r="F31" i="53"/>
  <c r="D31" i="53"/>
  <c r="E31" i="53" s="1"/>
  <c r="L30" i="53"/>
  <c r="F30" i="53"/>
  <c r="D30" i="53"/>
  <c r="E30" i="53" s="1"/>
  <c r="L29" i="53"/>
  <c r="F29" i="53"/>
  <c r="D29" i="53"/>
  <c r="L28" i="53"/>
  <c r="F28" i="53"/>
  <c r="D28" i="53"/>
  <c r="E28" i="53" s="1"/>
  <c r="T18" i="53"/>
  <c r="S18" i="53"/>
  <c r="M18" i="53"/>
  <c r="L18" i="53"/>
  <c r="K18" i="53"/>
  <c r="J18" i="53"/>
  <c r="G18" i="53"/>
  <c r="F18" i="53"/>
  <c r="E18" i="53"/>
  <c r="D18" i="53"/>
  <c r="P17" i="53"/>
  <c r="N17" i="53"/>
  <c r="Q17" i="53" s="1"/>
  <c r="P16" i="53"/>
  <c r="I16" i="53"/>
  <c r="I18" i="53" s="1"/>
  <c r="H16" i="53"/>
  <c r="P15" i="53"/>
  <c r="N15" i="53"/>
  <c r="Q15" i="53" s="1"/>
  <c r="P14" i="53"/>
  <c r="N14" i="53"/>
  <c r="O14" i="53" s="1"/>
  <c r="P13" i="53"/>
  <c r="N13" i="53"/>
  <c r="O13" i="53" s="1"/>
  <c r="P12" i="53"/>
  <c r="H12" i="53"/>
  <c r="P11" i="53"/>
  <c r="N11" i="53"/>
  <c r="Q11" i="53" s="1"/>
  <c r="P10" i="53"/>
  <c r="N10" i="53"/>
  <c r="O10" i="53" s="1"/>
  <c r="P9" i="53"/>
  <c r="N9" i="53"/>
  <c r="Q9" i="53" s="1"/>
  <c r="P8" i="53"/>
  <c r="N8" i="53"/>
  <c r="Q8" i="53" s="1"/>
  <c r="P7" i="53"/>
  <c r="N7" i="53"/>
  <c r="O7" i="53" s="1"/>
  <c r="P6" i="53"/>
  <c r="N6" i="53"/>
  <c r="Q6" i="53" s="1"/>
  <c r="P5" i="53"/>
  <c r="N5" i="53"/>
  <c r="Q5" i="53" s="1"/>
  <c r="P4" i="53"/>
  <c r="N4" i="53"/>
  <c r="O4" i="53" s="1"/>
  <c r="P1" i="53"/>
  <c r="E28" i="52"/>
  <c r="I28" i="52"/>
  <c r="C64" i="43" s="1"/>
  <c r="N28" i="52"/>
  <c r="D75" i="43" s="1"/>
  <c r="P28" i="52"/>
  <c r="B87" i="43" s="1"/>
  <c r="R27" i="52" l="1"/>
  <c r="B63" i="43"/>
  <c r="C52" i="43"/>
  <c r="D87" i="43" s="1"/>
  <c r="R28" i="52"/>
  <c r="C53" i="43"/>
  <c r="D88" i="43" s="1"/>
  <c r="R29" i="52"/>
  <c r="R9" i="53"/>
  <c r="Q7" i="53"/>
  <c r="R6" i="53"/>
  <c r="R8" i="53"/>
  <c r="Q4" i="53"/>
  <c r="R4" i="53" s="1"/>
  <c r="O15" i="53"/>
  <c r="N16" i="53"/>
  <c r="Q16" i="53" s="1"/>
  <c r="R16" i="53" s="1"/>
  <c r="R11" i="53"/>
  <c r="R15" i="53"/>
  <c r="R17" i="53"/>
  <c r="O11" i="53"/>
  <c r="P18" i="53"/>
  <c r="O5" i="53"/>
  <c r="O8" i="53"/>
  <c r="R7" i="53"/>
  <c r="Q14" i="53"/>
  <c r="R14" i="53" s="1"/>
  <c r="F42" i="53"/>
  <c r="O9" i="53"/>
  <c r="H18" i="53"/>
  <c r="D42" i="53"/>
  <c r="E42" i="53" s="1"/>
  <c r="R5" i="53"/>
  <c r="O17" i="53"/>
  <c r="E29" i="53"/>
  <c r="O16" i="53"/>
  <c r="Q13" i="53"/>
  <c r="R13" i="53" s="1"/>
  <c r="O6" i="53"/>
  <c r="Q10" i="53"/>
  <c r="R10" i="53" s="1"/>
  <c r="N12" i="53"/>
  <c r="N18" i="53" l="1"/>
  <c r="F19" i="53" s="1"/>
  <c r="O12" i="53"/>
  <c r="Q12" i="53"/>
  <c r="R12" i="53" s="1"/>
  <c r="O18" i="53"/>
  <c r="L19" i="53"/>
  <c r="Q18" i="53"/>
  <c r="R18" i="53" s="1"/>
  <c r="H19" i="53"/>
  <c r="M19" i="53"/>
  <c r="K19" i="53" l="1"/>
  <c r="G19" i="53"/>
  <c r="D19" i="53"/>
  <c r="E19" i="53"/>
  <c r="J19" i="53"/>
  <c r="I19" i="53"/>
  <c r="N19" i="53"/>
  <c r="N122" i="52" l="1"/>
  <c r="L122" i="52"/>
  <c r="K122" i="52"/>
  <c r="J122" i="52"/>
  <c r="I116" i="52"/>
  <c r="I114" i="52"/>
  <c r="D113" i="52"/>
  <c r="D96" i="52"/>
  <c r="D122" i="52" s="1"/>
  <c r="D95" i="52"/>
  <c r="D121" i="52" s="1"/>
  <c r="D93" i="52"/>
  <c r="D119" i="52" s="1"/>
  <c r="D92" i="52"/>
  <c r="D118" i="52" s="1"/>
  <c r="D91" i="52"/>
  <c r="D117" i="52" s="1"/>
  <c r="D89" i="52"/>
  <c r="D115" i="52" s="1"/>
  <c r="N88" i="52"/>
  <c r="L88" i="52"/>
  <c r="K88" i="52"/>
  <c r="J88" i="52"/>
  <c r="D88" i="52"/>
  <c r="D114" i="52" s="1"/>
  <c r="D87" i="52"/>
  <c r="D86" i="52"/>
  <c r="D112" i="52" s="1"/>
  <c r="D84" i="52"/>
  <c r="D110" i="52" s="1"/>
  <c r="D83" i="52"/>
  <c r="D109" i="52" s="1"/>
  <c r="I82" i="52"/>
  <c r="D82" i="52"/>
  <c r="D108" i="52" s="1"/>
  <c r="D81" i="52"/>
  <c r="D107" i="52" s="1"/>
  <c r="I80" i="52"/>
  <c r="D66" i="52"/>
  <c r="D68" i="52" s="1"/>
  <c r="R56" i="52"/>
  <c r="N34" i="52"/>
  <c r="Q26" i="52"/>
  <c r="Q25" i="52"/>
  <c r="C85" i="43" s="1"/>
  <c r="P25" i="52"/>
  <c r="B85" i="43" s="1"/>
  <c r="O25" i="52"/>
  <c r="M25" i="52"/>
  <c r="L25" i="52"/>
  <c r="B73" i="43" s="1"/>
  <c r="K25" i="52"/>
  <c r="J25" i="52"/>
  <c r="I25" i="52"/>
  <c r="H25" i="52"/>
  <c r="G25" i="52"/>
  <c r="F25" i="52"/>
  <c r="E25" i="52"/>
  <c r="C50" i="43" s="1"/>
  <c r="D34" i="52"/>
  <c r="R21" i="52"/>
  <c r="B5" i="33" s="1"/>
  <c r="Q18" i="52"/>
  <c r="P18" i="52"/>
  <c r="O18" i="52"/>
  <c r="N18" i="52"/>
  <c r="L18" i="52"/>
  <c r="K18" i="52"/>
  <c r="J18" i="52"/>
  <c r="I18" i="52"/>
  <c r="H18" i="52"/>
  <c r="G18" i="52"/>
  <c r="F18" i="52"/>
  <c r="E18" i="52"/>
  <c r="D18" i="52"/>
  <c r="Q16" i="52"/>
  <c r="P16" i="52"/>
  <c r="O16" i="52"/>
  <c r="N16" i="52"/>
  <c r="M16" i="52"/>
  <c r="L16" i="52"/>
  <c r="K16" i="52"/>
  <c r="J16" i="52"/>
  <c r="I16" i="52"/>
  <c r="H16" i="52"/>
  <c r="G16" i="52"/>
  <c r="F16" i="52"/>
  <c r="E16" i="52"/>
  <c r="D16" i="52"/>
  <c r="Q12" i="52"/>
  <c r="P12" i="52"/>
  <c r="N12" i="52"/>
  <c r="L12" i="52"/>
  <c r="J12" i="52"/>
  <c r="I12" i="52"/>
  <c r="H12" i="52"/>
  <c r="F12" i="52"/>
  <c r="E12" i="52"/>
  <c r="Q11" i="52"/>
  <c r="P11" i="52"/>
  <c r="O11" i="52"/>
  <c r="N11" i="52"/>
  <c r="M11" i="52"/>
  <c r="L11" i="52"/>
  <c r="K11" i="52"/>
  <c r="J11" i="52"/>
  <c r="I11" i="52"/>
  <c r="H11" i="52"/>
  <c r="G11" i="52"/>
  <c r="F11" i="52"/>
  <c r="E11" i="52"/>
  <c r="D11" i="52"/>
  <c r="R10" i="52"/>
  <c r="C4" i="42" s="1"/>
  <c r="L15" i="52"/>
  <c r="M34" i="52" l="1"/>
  <c r="M48" i="52" s="1"/>
  <c r="M49" i="52" s="1"/>
  <c r="M51" i="52" s="1"/>
  <c r="C73" i="43"/>
  <c r="G34" i="52"/>
  <c r="E50" i="43"/>
  <c r="H34" i="52"/>
  <c r="H48" i="52" s="1"/>
  <c r="H49" i="52" s="1"/>
  <c r="B62" i="43"/>
  <c r="F34" i="52"/>
  <c r="F48" i="52" s="1"/>
  <c r="F49" i="52" s="1"/>
  <c r="D50" i="43"/>
  <c r="O34" i="52"/>
  <c r="O48" i="52" s="1"/>
  <c r="O49" i="52" s="1"/>
  <c r="E73" i="43"/>
  <c r="E81" i="43" s="1"/>
  <c r="I34" i="52"/>
  <c r="I48" i="52" s="1"/>
  <c r="I49" i="52" s="1"/>
  <c r="C62" i="43"/>
  <c r="R26" i="52"/>
  <c r="C86" i="43"/>
  <c r="D86" i="43" s="1"/>
  <c r="J34" i="52"/>
  <c r="J48" i="52" s="1"/>
  <c r="J49" i="52" s="1"/>
  <c r="D62" i="43"/>
  <c r="K34" i="52"/>
  <c r="K48" i="52" s="1"/>
  <c r="K49" i="52" s="1"/>
  <c r="E62" i="43"/>
  <c r="N48" i="52"/>
  <c r="N49" i="52" s="1"/>
  <c r="D48" i="52"/>
  <c r="D49" i="52" s="1"/>
  <c r="G48" i="52"/>
  <c r="G49" i="52" s="1"/>
  <c r="P34" i="52"/>
  <c r="O15" i="52"/>
  <c r="R18" i="52"/>
  <c r="R12" i="52"/>
  <c r="C6" i="42" s="1"/>
  <c r="R11" i="52"/>
  <c r="C5" i="42" s="1"/>
  <c r="D15" i="52"/>
  <c r="G15" i="52"/>
  <c r="D67" i="52"/>
  <c r="C84" i="52" s="1"/>
  <c r="E84" i="52" s="1"/>
  <c r="J15" i="52"/>
  <c r="P15" i="52"/>
  <c r="R25" i="52"/>
  <c r="N15" i="52"/>
  <c r="Q34" i="52"/>
  <c r="R16" i="52"/>
  <c r="C122" i="52"/>
  <c r="E122" i="52" s="1"/>
  <c r="C117" i="52"/>
  <c r="E117" i="52" s="1"/>
  <c r="C113" i="52"/>
  <c r="E113" i="52" s="1"/>
  <c r="C108" i="52"/>
  <c r="E108" i="52" s="1"/>
  <c r="C114" i="52"/>
  <c r="E114" i="52" s="1"/>
  <c r="C109" i="52"/>
  <c r="E109" i="52" s="1"/>
  <c r="C119" i="52"/>
  <c r="E119" i="52" s="1"/>
  <c r="C110" i="52"/>
  <c r="E110" i="52" s="1"/>
  <c r="C115" i="52"/>
  <c r="E115" i="52" s="1"/>
  <c r="C121" i="52"/>
  <c r="E121" i="52" s="1"/>
  <c r="C112" i="52"/>
  <c r="E112" i="52" s="1"/>
  <c r="C107" i="52"/>
  <c r="E107" i="52" s="1"/>
  <c r="C118" i="52"/>
  <c r="E118" i="52" s="1"/>
  <c r="J123" i="52"/>
  <c r="K123" i="52" s="1"/>
  <c r="L123" i="52" s="1"/>
  <c r="N123" i="52" s="1"/>
  <c r="M15" i="52"/>
  <c r="M9" i="52" s="1"/>
  <c r="M24" i="52" s="1"/>
  <c r="K15" i="52"/>
  <c r="I15" i="52"/>
  <c r="H15" i="52"/>
  <c r="E34" i="52"/>
  <c r="F15" i="52"/>
  <c r="E15" i="52"/>
  <c r="Q15" i="52"/>
  <c r="D85" i="43" l="1"/>
  <c r="M6" i="37"/>
  <c r="C9" i="42"/>
  <c r="E48" i="52"/>
  <c r="E49" i="52" s="1"/>
  <c r="Q48" i="52"/>
  <c r="Q49" i="52" s="1"/>
  <c r="P48" i="52"/>
  <c r="P49" i="52" s="1"/>
  <c r="C87" i="52"/>
  <c r="E87" i="52" s="1"/>
  <c r="C91" i="52"/>
  <c r="E91" i="52" s="1"/>
  <c r="C95" i="52"/>
  <c r="E95" i="52" s="1"/>
  <c r="C89" i="52"/>
  <c r="E89" i="52" s="1"/>
  <c r="C86" i="52"/>
  <c r="E86" i="52" s="1"/>
  <c r="C83" i="52"/>
  <c r="E83" i="52" s="1"/>
  <c r="C93" i="52"/>
  <c r="E93" i="52" s="1"/>
  <c r="C88" i="52"/>
  <c r="E88" i="52" s="1"/>
  <c r="C81" i="52"/>
  <c r="E81" i="52" s="1"/>
  <c r="N60" i="52"/>
  <c r="R15" i="52"/>
  <c r="C8" i="42" s="1"/>
  <c r="H59" i="52"/>
  <c r="D59" i="52"/>
  <c r="D60" i="52" s="1"/>
  <c r="C96" i="52"/>
  <c r="E96" i="52" s="1"/>
  <c r="C82" i="52"/>
  <c r="E82" i="52" s="1"/>
  <c r="C92" i="52"/>
  <c r="E92" i="52" s="1"/>
  <c r="E103" i="52"/>
  <c r="O59" i="52"/>
  <c r="K59" i="52"/>
  <c r="K60" i="52" s="1"/>
  <c r="J59" i="52"/>
  <c r="J60" i="52" s="1"/>
  <c r="I59" i="52"/>
  <c r="I60" i="52" s="1"/>
  <c r="F59" i="52"/>
  <c r="E101" i="52"/>
  <c r="E100" i="52"/>
  <c r="E102" i="52"/>
  <c r="R18" i="37"/>
  <c r="Q21" i="37"/>
  <c r="P21" i="37"/>
  <c r="O21" i="37"/>
  <c r="N21" i="37"/>
  <c r="Q20" i="37"/>
  <c r="P20" i="37"/>
  <c r="O20" i="37"/>
  <c r="N20" i="37"/>
  <c r="Q17" i="37"/>
  <c r="P17" i="37"/>
  <c r="O17" i="37"/>
  <c r="N17" i="37"/>
  <c r="L21" i="37"/>
  <c r="K21" i="37"/>
  <c r="J21" i="37"/>
  <c r="I21" i="37"/>
  <c r="H21" i="37"/>
  <c r="G21" i="37"/>
  <c r="F21" i="37"/>
  <c r="E21" i="37"/>
  <c r="D21" i="37"/>
  <c r="L20" i="37"/>
  <c r="K20" i="37"/>
  <c r="J20" i="37"/>
  <c r="I20" i="37"/>
  <c r="H20" i="37"/>
  <c r="G20" i="37"/>
  <c r="F20" i="37"/>
  <c r="E20" i="37"/>
  <c r="D20" i="37"/>
  <c r="L17" i="37"/>
  <c r="K17" i="37"/>
  <c r="J17" i="37"/>
  <c r="I17" i="37"/>
  <c r="H17" i="37"/>
  <c r="G17" i="37"/>
  <c r="F17" i="37"/>
  <c r="E17" i="37"/>
  <c r="D17" i="37"/>
  <c r="E75" i="52" l="1"/>
  <c r="E77" i="52"/>
  <c r="H60" i="52"/>
  <c r="E76" i="52"/>
  <c r="E74" i="52"/>
  <c r="P60" i="52"/>
  <c r="O60" i="52"/>
  <c r="G60" i="52"/>
  <c r="F60" i="52"/>
  <c r="E59" i="52"/>
  <c r="E123" i="52"/>
  <c r="E104" i="52"/>
  <c r="E97" i="52" l="1"/>
  <c r="E78" i="52"/>
  <c r="D69" i="52" s="1"/>
  <c r="E60" i="52"/>
  <c r="E105" i="52"/>
  <c r="D70" i="52"/>
  <c r="E79" i="52" l="1"/>
  <c r="D71" i="52"/>
  <c r="M20" i="37" l="1"/>
  <c r="M21" i="37"/>
  <c r="M8" i="37" l="1"/>
  <c r="M9" i="37"/>
  <c r="M23" i="37" l="1"/>
  <c r="M24" i="37" s="1"/>
  <c r="M25" i="37" s="1"/>
  <c r="M13" i="37"/>
  <c r="M27" i="37"/>
  <c r="M28" i="37" s="1"/>
  <c r="M14" i="37"/>
  <c r="E17" i="50"/>
  <c r="B112" i="47"/>
  <c r="M32" i="37" l="1"/>
  <c r="M29" i="37"/>
  <c r="M31" i="37" s="1"/>
  <c r="B10" i="51" l="1"/>
  <c r="S96" i="47" l="1"/>
  <c r="S85" i="47"/>
  <c r="S98" i="47"/>
  <c r="S95" i="47"/>
  <c r="S94" i="47"/>
  <c r="S93" i="47"/>
  <c r="S92" i="47"/>
  <c r="S91" i="47"/>
  <c r="S90" i="47"/>
  <c r="S89" i="47"/>
  <c r="S88" i="47"/>
  <c r="S87" i="47"/>
  <c r="S84" i="47"/>
  <c r="C59" i="31"/>
  <c r="D59" i="31"/>
  <c r="E59" i="31"/>
  <c r="F59" i="31"/>
  <c r="G59" i="31"/>
  <c r="H59" i="31"/>
  <c r="I59" i="31"/>
  <c r="J59" i="31"/>
  <c r="K59" i="31"/>
  <c r="L59" i="31"/>
  <c r="M59" i="31"/>
  <c r="N59" i="31"/>
  <c r="O59" i="31"/>
  <c r="P59" i="31"/>
  <c r="B113" i="47" l="1"/>
  <c r="Q53" i="53" l="1"/>
  <c r="O99" i="47"/>
  <c r="N85" i="47" l="1"/>
  <c r="Q85" i="47" s="1"/>
  <c r="N87" i="47"/>
  <c r="N88" i="47"/>
  <c r="N89" i="47"/>
  <c r="N91" i="47"/>
  <c r="N92" i="47"/>
  <c r="N93" i="47"/>
  <c r="N95" i="47"/>
  <c r="N96" i="47"/>
  <c r="N98" i="47"/>
  <c r="N84" i="47"/>
  <c r="I99" i="47"/>
  <c r="I101" i="47" s="1"/>
  <c r="L99" i="47"/>
  <c r="L101" i="47" s="1"/>
  <c r="N99" i="47" l="1"/>
  <c r="Q84" i="47"/>
  <c r="B22" i="49"/>
  <c r="B21" i="49"/>
  <c r="B17" i="49"/>
  <c r="B18" i="49"/>
  <c r="B16" i="49"/>
  <c r="P99" i="47" l="1"/>
  <c r="M99" i="47"/>
  <c r="S99" i="47" l="1"/>
  <c r="Q98" i="47"/>
  <c r="Q96" i="47" l="1"/>
  <c r="Q95" i="47" l="1"/>
  <c r="Q94" i="47" l="1"/>
  <c r="Q93" i="47" l="1"/>
  <c r="Q92" i="47" l="1"/>
  <c r="Q91" i="47" l="1"/>
  <c r="Q90" i="47" l="1"/>
  <c r="Q89" i="47" l="1"/>
  <c r="Q88" i="47" l="1"/>
  <c r="Q87" i="47" l="1"/>
  <c r="Q99" i="47" l="1"/>
  <c r="C11" i="48"/>
  <c r="D11" i="48"/>
  <c r="E11" i="48"/>
  <c r="F11" i="48"/>
  <c r="G11" i="48"/>
  <c r="C27" i="48"/>
  <c r="D27" i="48"/>
  <c r="E27" i="48"/>
  <c r="F27" i="48"/>
  <c r="G27" i="48"/>
  <c r="B11" i="48"/>
  <c r="C5" i="48"/>
  <c r="D5" i="48"/>
  <c r="E5" i="48"/>
  <c r="F5" i="48"/>
  <c r="G5" i="48"/>
  <c r="H5" i="48"/>
  <c r="B5" i="48"/>
  <c r="Q100" i="47" l="1"/>
  <c r="B27" i="48"/>
  <c r="C21" i="48"/>
  <c r="D21" i="48"/>
  <c r="E21" i="48"/>
  <c r="F21" i="48"/>
  <c r="G21" i="48"/>
  <c r="H21" i="48"/>
  <c r="B21" i="48"/>
  <c r="B22" i="48" l="1"/>
  <c r="C22" i="48"/>
  <c r="D22" i="48"/>
  <c r="E22" i="48"/>
  <c r="F22" i="48"/>
  <c r="G22" i="48"/>
  <c r="H22" i="48"/>
  <c r="B28" i="48"/>
  <c r="C28" i="48"/>
  <c r="D28" i="48"/>
  <c r="E28" i="48"/>
  <c r="F28" i="48"/>
  <c r="G28" i="48"/>
  <c r="E6" i="48" l="1"/>
  <c r="D6" i="48"/>
  <c r="H6" i="48"/>
  <c r="D12" i="48"/>
  <c r="C12" i="48"/>
  <c r="B6" i="48"/>
  <c r="B12" i="48"/>
  <c r="C6" i="48"/>
  <c r="G12" i="48"/>
  <c r="F12" i="48"/>
  <c r="G6" i="48"/>
  <c r="E12" i="48"/>
  <c r="F6" i="48"/>
  <c r="D8" i="45" l="1"/>
  <c r="D9" i="45"/>
  <c r="D10" i="45"/>
  <c r="D11" i="45"/>
  <c r="D12" i="45"/>
  <c r="D13" i="45"/>
  <c r="D14" i="45"/>
  <c r="D15" i="45"/>
  <c r="D16" i="45"/>
  <c r="D17" i="45"/>
  <c r="D18" i="45"/>
  <c r="D19" i="45"/>
  <c r="D7" i="45"/>
  <c r="E37" i="50" l="1"/>
  <c r="E56" i="50" l="1"/>
  <c r="E54" i="50"/>
  <c r="E52" i="50"/>
  <c r="E47" i="50"/>
  <c r="E44" i="50"/>
  <c r="E43" i="50"/>
  <c r="E34" i="50"/>
  <c r="E32" i="50"/>
  <c r="E29" i="50"/>
  <c r="E27" i="50"/>
  <c r="E26" i="50"/>
  <c r="E21" i="50"/>
  <c r="E19" i="50"/>
  <c r="E8" i="50"/>
  <c r="E36" i="50" l="1"/>
  <c r="E38" i="50"/>
  <c r="E39" i="50"/>
  <c r="E40" i="50"/>
  <c r="E41" i="50"/>
  <c r="E35" i="50"/>
  <c r="K24" i="50"/>
  <c r="F41" i="50" l="1"/>
  <c r="F40" i="50"/>
  <c r="F39" i="50"/>
  <c r="F38" i="50"/>
  <c r="F37" i="50"/>
  <c r="F36" i="50"/>
  <c r="F35" i="50"/>
  <c r="F22" i="50" l="1"/>
  <c r="E31" i="50"/>
  <c r="D31" i="50" s="1"/>
  <c r="E46" i="50"/>
  <c r="D46" i="50" s="1"/>
  <c r="E14" i="50"/>
  <c r="D14" i="50" s="1"/>
  <c r="E13" i="50"/>
  <c r="D13" i="50" s="1"/>
  <c r="E28" i="50"/>
  <c r="D28" i="50" s="1"/>
  <c r="F51" i="50"/>
  <c r="E51" i="50" s="1"/>
  <c r="D51" i="50" s="1"/>
  <c r="E25" i="50"/>
  <c r="D25" i="50" s="1"/>
  <c r="E55" i="50"/>
  <c r="D55" i="50" s="1"/>
  <c r="E24" i="50"/>
  <c r="D24" i="50" s="1"/>
  <c r="E23" i="50"/>
  <c r="D23" i="50" s="1"/>
  <c r="E53" i="50"/>
  <c r="D53" i="50" s="1"/>
  <c r="E50" i="50"/>
  <c r="D50" i="50" s="1"/>
  <c r="E20" i="50"/>
  <c r="D20" i="50" s="1"/>
  <c r="E49" i="50"/>
  <c r="D49" i="50" s="1"/>
  <c r="E18" i="50"/>
  <c r="D18" i="50" s="1"/>
  <c r="D17" i="50"/>
  <c r="E16" i="50"/>
  <c r="D16" i="50" s="1"/>
  <c r="E15" i="50"/>
  <c r="D15" i="50" s="1"/>
  <c r="E42" i="50"/>
  <c r="D42" i="50" s="1"/>
  <c r="E45" i="50"/>
  <c r="D45" i="50" s="1"/>
  <c r="E11" i="50"/>
  <c r="D11" i="50" s="1"/>
  <c r="E10" i="50"/>
  <c r="D10" i="50" s="1"/>
  <c r="E9" i="50"/>
  <c r="D9" i="50" s="1"/>
  <c r="E30" i="50"/>
  <c r="D30" i="50" s="1"/>
  <c r="E7" i="50"/>
  <c r="D7" i="50" s="1"/>
  <c r="E6" i="50"/>
  <c r="D6" i="50" s="1"/>
  <c r="L33" i="52" l="1"/>
  <c r="D61" i="31"/>
  <c r="E61" i="31"/>
  <c r="F61" i="31"/>
  <c r="G61" i="31"/>
  <c r="H61" i="31"/>
  <c r="I61" i="31"/>
  <c r="J61" i="31"/>
  <c r="K61" i="31"/>
  <c r="L61" i="31"/>
  <c r="M61" i="31"/>
  <c r="N61" i="31"/>
  <c r="O61" i="31"/>
  <c r="D60" i="31"/>
  <c r="E60" i="31"/>
  <c r="F60" i="31"/>
  <c r="G60" i="31"/>
  <c r="H60" i="31"/>
  <c r="I60" i="31"/>
  <c r="J60" i="31"/>
  <c r="K60" i="31"/>
  <c r="L60" i="31"/>
  <c r="M60" i="31"/>
  <c r="N60" i="31"/>
  <c r="O60" i="31"/>
  <c r="D58" i="31"/>
  <c r="E58" i="31"/>
  <c r="F58" i="31"/>
  <c r="G58" i="31"/>
  <c r="H58" i="31"/>
  <c r="I58" i="31"/>
  <c r="J58" i="31"/>
  <c r="K58" i="31"/>
  <c r="L58" i="31"/>
  <c r="M58" i="31"/>
  <c r="N58" i="31"/>
  <c r="O58" i="31"/>
  <c r="D57" i="31"/>
  <c r="E57" i="31"/>
  <c r="F57" i="31"/>
  <c r="G57" i="31"/>
  <c r="H57" i="31"/>
  <c r="I57" i="31"/>
  <c r="J57" i="31"/>
  <c r="K57" i="31"/>
  <c r="L57" i="31"/>
  <c r="M57" i="31"/>
  <c r="N57" i="31"/>
  <c r="O57" i="31"/>
  <c r="E56" i="31"/>
  <c r="F56" i="31"/>
  <c r="G56" i="31"/>
  <c r="H56" i="31"/>
  <c r="I56" i="31"/>
  <c r="J56" i="31"/>
  <c r="K56" i="31"/>
  <c r="L56" i="31"/>
  <c r="M56" i="31"/>
  <c r="N56" i="31"/>
  <c r="O56" i="31"/>
  <c r="C56" i="31"/>
  <c r="D56" i="31"/>
  <c r="D55" i="31"/>
  <c r="E55" i="31"/>
  <c r="F55" i="31"/>
  <c r="G55" i="31"/>
  <c r="H55" i="31"/>
  <c r="I55" i="31"/>
  <c r="J55" i="31"/>
  <c r="K55" i="31"/>
  <c r="L55" i="31"/>
  <c r="M55" i="31"/>
  <c r="N55" i="31"/>
  <c r="O55" i="31"/>
  <c r="D54" i="31"/>
  <c r="E54" i="31"/>
  <c r="F54" i="31"/>
  <c r="G54" i="31"/>
  <c r="H54" i="31"/>
  <c r="I54" i="31"/>
  <c r="J54" i="31"/>
  <c r="K54" i="31"/>
  <c r="L54" i="31"/>
  <c r="M54" i="31"/>
  <c r="N54" i="31"/>
  <c r="O54" i="31"/>
  <c r="D50" i="31"/>
  <c r="E50" i="31"/>
  <c r="F50" i="31"/>
  <c r="G50" i="31"/>
  <c r="H50" i="31"/>
  <c r="I50" i="31"/>
  <c r="J50" i="31"/>
  <c r="K50" i="31"/>
  <c r="L50" i="31"/>
  <c r="M50" i="31"/>
  <c r="N50" i="31"/>
  <c r="O50" i="31"/>
  <c r="E49" i="31"/>
  <c r="J49" i="31"/>
  <c r="L49" i="31"/>
  <c r="M49" i="31"/>
  <c r="O49" i="31"/>
  <c r="C50" i="31"/>
  <c r="C54" i="31"/>
  <c r="C55" i="31"/>
  <c r="C57" i="31"/>
  <c r="C58" i="31"/>
  <c r="C60" i="31"/>
  <c r="C61" i="31"/>
  <c r="L34" i="52" l="1"/>
  <c r="L48" i="52" s="1"/>
  <c r="L49" i="52" s="1"/>
  <c r="B80" i="43"/>
  <c r="D92" i="43" s="1"/>
  <c r="R33" i="52"/>
  <c r="R34" i="52" s="1"/>
  <c r="L59" i="52"/>
  <c r="F49" i="31"/>
  <c r="C62" i="31"/>
  <c r="R48" i="52" l="1"/>
  <c r="R49" i="52" s="1"/>
  <c r="R51" i="52" s="1"/>
  <c r="R6" i="37" s="1"/>
  <c r="R8" i="37" s="1"/>
  <c r="L60" i="52"/>
  <c r="M69" i="47"/>
  <c r="M70" i="47"/>
  <c r="M57" i="47"/>
  <c r="M58" i="47"/>
  <c r="M59" i="47"/>
  <c r="M60" i="47"/>
  <c r="M61" i="47"/>
  <c r="M62" i="47"/>
  <c r="M63" i="47"/>
  <c r="M64" i="47"/>
  <c r="M65" i="47"/>
  <c r="M66" i="47"/>
  <c r="M67" i="47"/>
  <c r="M68" i="47"/>
  <c r="M71" i="47"/>
  <c r="M56" i="47"/>
  <c r="D32" i="47"/>
  <c r="E32" i="47"/>
  <c r="F32" i="47"/>
  <c r="M32" i="47"/>
  <c r="M33" i="47"/>
  <c r="Q33" i="47"/>
  <c r="M34" i="47"/>
  <c r="Q34" i="47"/>
  <c r="D35" i="47"/>
  <c r="E35" i="47"/>
  <c r="F35" i="47"/>
  <c r="M35" i="47"/>
  <c r="M36" i="47"/>
  <c r="Q36" i="47"/>
  <c r="M37" i="47"/>
  <c r="Q37" i="47"/>
  <c r="M38" i="47"/>
  <c r="Q38" i="47"/>
  <c r="M39" i="47"/>
  <c r="Q39" i="47"/>
  <c r="M40" i="47"/>
  <c r="Q40" i="47"/>
  <c r="M41" i="47"/>
  <c r="Q41" i="47"/>
  <c r="M42" i="47"/>
  <c r="Q42" i="47"/>
  <c r="M43" i="47"/>
  <c r="Q43" i="47"/>
  <c r="M44" i="47"/>
  <c r="Q44" i="47"/>
  <c r="M45" i="47"/>
  <c r="Q45" i="47"/>
  <c r="B46" i="47"/>
  <c r="B48" i="47" s="1"/>
  <c r="B51" i="47" s="1"/>
  <c r="C46" i="47"/>
  <c r="C48" i="47" s="1"/>
  <c r="C51" i="47" s="1"/>
  <c r="G46" i="47"/>
  <c r="E46" i="47" l="1"/>
  <c r="D46" i="47"/>
  <c r="S44" i="47"/>
  <c r="S33" i="47"/>
  <c r="S41" i="47"/>
  <c r="M72" i="47"/>
  <c r="S37" i="47"/>
  <c r="Q32" i="47"/>
  <c r="S32" i="47" s="1"/>
  <c r="S43" i="47"/>
  <c r="S40" i="47"/>
  <c r="S38" i="47"/>
  <c r="S45" i="47"/>
  <c r="F46" i="47"/>
  <c r="S36" i="47"/>
  <c r="S39" i="47"/>
  <c r="Q35" i="47"/>
  <c r="S42" i="47"/>
  <c r="S34" i="47"/>
  <c r="M46" i="47"/>
  <c r="P61" i="31"/>
  <c r="P60" i="31"/>
  <c r="P57" i="31"/>
  <c r="P56" i="31"/>
  <c r="P55" i="31"/>
  <c r="J16" i="6"/>
  <c r="I16" i="6"/>
  <c r="H16" i="6"/>
  <c r="F16" i="6"/>
  <c r="G15" i="6"/>
  <c r="B15" i="6"/>
  <c r="G14" i="6"/>
  <c r="B14" i="6"/>
  <c r="B13" i="6"/>
  <c r="B12" i="6"/>
  <c r="G11" i="6"/>
  <c r="E11" i="6"/>
  <c r="E16" i="6" s="1"/>
  <c r="C11" i="6"/>
  <c r="C10" i="6"/>
  <c r="B9" i="6"/>
  <c r="B8" i="6"/>
  <c r="B7" i="6"/>
  <c r="B6" i="6"/>
  <c r="B5" i="6"/>
  <c r="B4" i="6"/>
  <c r="B3" i="6"/>
  <c r="D2" i="6"/>
  <c r="D16" i="6" s="1"/>
  <c r="F77" i="47"/>
  <c r="E77" i="47"/>
  <c r="D77" i="47"/>
  <c r="C77" i="47"/>
  <c r="B77" i="47"/>
  <c r="R71" i="47"/>
  <c r="G71" i="47"/>
  <c r="F71" i="47"/>
  <c r="E71" i="47"/>
  <c r="D71" i="47"/>
  <c r="C71" i="47"/>
  <c r="B71" i="47"/>
  <c r="R70" i="47"/>
  <c r="G70" i="47"/>
  <c r="F70" i="47"/>
  <c r="E70" i="47"/>
  <c r="D70" i="47"/>
  <c r="C70" i="47"/>
  <c r="B70" i="47"/>
  <c r="R69" i="47"/>
  <c r="G69" i="47"/>
  <c r="F69" i="47"/>
  <c r="E69" i="47"/>
  <c r="D69" i="47"/>
  <c r="C69" i="47"/>
  <c r="B69" i="47"/>
  <c r="R68" i="47"/>
  <c r="G68" i="47"/>
  <c r="F68" i="47"/>
  <c r="E68" i="47"/>
  <c r="D68" i="47"/>
  <c r="C68" i="47"/>
  <c r="B68" i="47"/>
  <c r="R67" i="47"/>
  <c r="G67" i="47"/>
  <c r="F67" i="47"/>
  <c r="E67" i="47"/>
  <c r="D67" i="47"/>
  <c r="C67" i="47"/>
  <c r="B67" i="47"/>
  <c r="R66" i="47"/>
  <c r="G66" i="47"/>
  <c r="F66" i="47"/>
  <c r="E66" i="47"/>
  <c r="D66" i="47"/>
  <c r="C66" i="47"/>
  <c r="B66" i="47"/>
  <c r="R65" i="47"/>
  <c r="G65" i="47"/>
  <c r="F65" i="47"/>
  <c r="D65" i="47"/>
  <c r="C65" i="47"/>
  <c r="B65" i="47"/>
  <c r="R64" i="47"/>
  <c r="G64" i="47"/>
  <c r="F64" i="47"/>
  <c r="E64" i="47"/>
  <c r="D64" i="47"/>
  <c r="C64" i="47"/>
  <c r="B64" i="47"/>
  <c r="R63" i="47"/>
  <c r="G63" i="47"/>
  <c r="F63" i="47"/>
  <c r="E63" i="47"/>
  <c r="D63" i="47"/>
  <c r="C63" i="47"/>
  <c r="B63" i="47"/>
  <c r="R62" i="47"/>
  <c r="G62" i="47"/>
  <c r="F62" i="47"/>
  <c r="E62" i="47"/>
  <c r="D62" i="47"/>
  <c r="C62" i="47"/>
  <c r="B62" i="47"/>
  <c r="R61" i="47"/>
  <c r="G61" i="47"/>
  <c r="F61" i="47"/>
  <c r="E61" i="47"/>
  <c r="D61" i="47"/>
  <c r="C61" i="47"/>
  <c r="B61" i="47"/>
  <c r="R60" i="47"/>
  <c r="G60" i="47"/>
  <c r="F60" i="47"/>
  <c r="E60" i="47"/>
  <c r="D60" i="47"/>
  <c r="C60" i="47"/>
  <c r="B60" i="47"/>
  <c r="R59" i="47"/>
  <c r="G59" i="47"/>
  <c r="F59" i="47"/>
  <c r="E59" i="47"/>
  <c r="D59" i="47"/>
  <c r="C59" i="47"/>
  <c r="B59" i="47"/>
  <c r="R58" i="47"/>
  <c r="G58" i="47"/>
  <c r="F58" i="47"/>
  <c r="E58" i="47"/>
  <c r="D58" i="47"/>
  <c r="C58" i="47"/>
  <c r="B58" i="47"/>
  <c r="R57" i="47"/>
  <c r="G57" i="47"/>
  <c r="F57" i="47"/>
  <c r="E57" i="47"/>
  <c r="D57" i="47"/>
  <c r="C57" i="47"/>
  <c r="B57" i="47"/>
  <c r="R56" i="47"/>
  <c r="G56" i="47"/>
  <c r="F56" i="47"/>
  <c r="E56" i="47"/>
  <c r="D56" i="47"/>
  <c r="C56" i="47"/>
  <c r="B56" i="47"/>
  <c r="B13" i="49"/>
  <c r="B12" i="49"/>
  <c r="B11" i="49"/>
  <c r="B10" i="49"/>
  <c r="B7" i="49"/>
  <c r="B6" i="49"/>
  <c r="B5" i="49"/>
  <c r="B4" i="49"/>
  <c r="D22" i="49"/>
  <c r="D21" i="49"/>
  <c r="D18" i="49"/>
  <c r="D17" i="49"/>
  <c r="D16" i="49"/>
  <c r="D13" i="49"/>
  <c r="D12" i="49"/>
  <c r="D10" i="49"/>
  <c r="D6" i="49"/>
  <c r="D5" i="49"/>
  <c r="R19" i="37"/>
  <c r="D34" i="37"/>
  <c r="C57" i="37" s="1"/>
  <c r="P7" i="36"/>
  <c r="P8" i="36" s="1"/>
  <c r="O7" i="36"/>
  <c r="O8" i="36" s="1"/>
  <c r="N7" i="36"/>
  <c r="N8" i="36" s="1"/>
  <c r="M7" i="36"/>
  <c r="M8" i="36" s="1"/>
  <c r="L7" i="36"/>
  <c r="L8" i="36" s="1"/>
  <c r="K7" i="36"/>
  <c r="K8" i="36" s="1"/>
  <c r="J7" i="36"/>
  <c r="J8" i="36" s="1"/>
  <c r="I7" i="36"/>
  <c r="I8" i="36" s="1"/>
  <c r="H7" i="36"/>
  <c r="H8" i="36" s="1"/>
  <c r="G7" i="36"/>
  <c r="G8" i="36" s="1"/>
  <c r="F7" i="36"/>
  <c r="F8" i="36" s="1"/>
  <c r="E7" i="36"/>
  <c r="E8" i="36" s="1"/>
  <c r="D7" i="36"/>
  <c r="D8" i="36" s="1"/>
  <c r="C7" i="36"/>
  <c r="C8" i="36" s="1"/>
  <c r="P5" i="36"/>
  <c r="O5" i="36"/>
  <c r="N5" i="36"/>
  <c r="M5" i="36"/>
  <c r="L5" i="36"/>
  <c r="K5" i="36"/>
  <c r="J5" i="36"/>
  <c r="I5" i="36"/>
  <c r="H5" i="36"/>
  <c r="G5" i="36"/>
  <c r="F5" i="36"/>
  <c r="E5" i="36"/>
  <c r="D5" i="36"/>
  <c r="C5" i="36"/>
  <c r="K41" i="43"/>
  <c r="F41" i="43"/>
  <c r="D41" i="43"/>
  <c r="E41" i="43" s="1"/>
  <c r="K40" i="43"/>
  <c r="F40" i="43"/>
  <c r="D40" i="43"/>
  <c r="E40" i="43" s="1"/>
  <c r="K39" i="43"/>
  <c r="F39" i="43"/>
  <c r="D39" i="43"/>
  <c r="E39" i="43" s="1"/>
  <c r="K38" i="43"/>
  <c r="F38" i="43"/>
  <c r="D38" i="43"/>
  <c r="E38" i="43" s="1"/>
  <c r="K37" i="43"/>
  <c r="F37" i="43"/>
  <c r="D37" i="43"/>
  <c r="E37" i="43" s="1"/>
  <c r="K36" i="43"/>
  <c r="F36" i="43"/>
  <c r="D36" i="43"/>
  <c r="E36" i="43" s="1"/>
  <c r="K35" i="43"/>
  <c r="F35" i="43"/>
  <c r="D35" i="43"/>
  <c r="E35" i="43" s="1"/>
  <c r="K34" i="43"/>
  <c r="F34" i="43"/>
  <c r="D34" i="43"/>
  <c r="E34" i="43" s="1"/>
  <c r="K33" i="43"/>
  <c r="F33" i="43"/>
  <c r="D33" i="43"/>
  <c r="E33" i="43" s="1"/>
  <c r="K32" i="43"/>
  <c r="F32" i="43"/>
  <c r="D32" i="43"/>
  <c r="E32" i="43" s="1"/>
  <c r="K31" i="43"/>
  <c r="F31" i="43"/>
  <c r="D31" i="43"/>
  <c r="E31" i="43" s="1"/>
  <c r="K30" i="43"/>
  <c r="F30" i="43"/>
  <c r="D30" i="43"/>
  <c r="E30" i="43" s="1"/>
  <c r="K29" i="43"/>
  <c r="F29" i="43"/>
  <c r="D29" i="43"/>
  <c r="E29" i="43" s="1"/>
  <c r="K28" i="43"/>
  <c r="F28" i="43"/>
  <c r="D28" i="43"/>
  <c r="U18" i="43"/>
  <c r="O18" i="43"/>
  <c r="L18" i="43"/>
  <c r="K18" i="43"/>
  <c r="J18" i="43"/>
  <c r="G18" i="43"/>
  <c r="F18" i="43"/>
  <c r="E18" i="43"/>
  <c r="D18" i="43"/>
  <c r="O17" i="43"/>
  <c r="M17" i="43"/>
  <c r="P17" i="43" s="1"/>
  <c r="O16" i="43"/>
  <c r="I16" i="43"/>
  <c r="I18" i="43" s="1"/>
  <c r="H16" i="43"/>
  <c r="O15" i="43"/>
  <c r="M15" i="43"/>
  <c r="N15" i="43" s="1"/>
  <c r="O14" i="43"/>
  <c r="M14" i="43"/>
  <c r="N14" i="43" s="1"/>
  <c r="O13" i="43"/>
  <c r="M13" i="43"/>
  <c r="P13" i="43" s="1"/>
  <c r="O12" i="43"/>
  <c r="H12" i="43"/>
  <c r="O11" i="43"/>
  <c r="M11" i="43"/>
  <c r="N11" i="43" s="1"/>
  <c r="O10" i="43"/>
  <c r="M10" i="43"/>
  <c r="N10" i="43" s="1"/>
  <c r="O9" i="43"/>
  <c r="M9" i="43"/>
  <c r="P9" i="43" s="1"/>
  <c r="O8" i="43"/>
  <c r="M8" i="43"/>
  <c r="N8" i="43" s="1"/>
  <c r="O7" i="43"/>
  <c r="M7" i="43"/>
  <c r="O6" i="43"/>
  <c r="M6" i="43"/>
  <c r="P6" i="43" s="1"/>
  <c r="O5" i="43"/>
  <c r="M5" i="43"/>
  <c r="O4" i="43"/>
  <c r="M4" i="43"/>
  <c r="O1" i="43"/>
  <c r="O62" i="31"/>
  <c r="N62" i="31"/>
  <c r="M62" i="31"/>
  <c r="L62" i="31"/>
  <c r="K62" i="31"/>
  <c r="J62" i="31"/>
  <c r="I62" i="31"/>
  <c r="H62" i="31"/>
  <c r="G62" i="31"/>
  <c r="E62" i="31"/>
  <c r="D62" i="31"/>
  <c r="K41" i="31"/>
  <c r="F41" i="31"/>
  <c r="D41" i="31"/>
  <c r="E41" i="31" s="1"/>
  <c r="K40" i="31"/>
  <c r="F40" i="31"/>
  <c r="D40" i="31"/>
  <c r="E40" i="31" s="1"/>
  <c r="K39" i="31"/>
  <c r="F39" i="31"/>
  <c r="D39" i="31"/>
  <c r="E39" i="31" s="1"/>
  <c r="K38" i="31"/>
  <c r="F38" i="31"/>
  <c r="D38" i="31"/>
  <c r="E38" i="31" s="1"/>
  <c r="K37" i="31"/>
  <c r="F37" i="31"/>
  <c r="D37" i="31"/>
  <c r="E37" i="31" s="1"/>
  <c r="K36" i="31"/>
  <c r="F36" i="31"/>
  <c r="D36" i="31"/>
  <c r="E36" i="31" s="1"/>
  <c r="K35" i="31"/>
  <c r="F35" i="31"/>
  <c r="D35" i="31"/>
  <c r="E35" i="31" s="1"/>
  <c r="K34" i="31"/>
  <c r="F34" i="31"/>
  <c r="D34" i="31"/>
  <c r="E34" i="31" s="1"/>
  <c r="K33" i="31"/>
  <c r="F33" i="31"/>
  <c r="D33" i="31"/>
  <c r="E33" i="31" s="1"/>
  <c r="K32" i="31"/>
  <c r="F32" i="31"/>
  <c r="D32" i="31"/>
  <c r="E32" i="31" s="1"/>
  <c r="K31" i="31"/>
  <c r="F31" i="31"/>
  <c r="D31" i="31"/>
  <c r="E31" i="31" s="1"/>
  <c r="K30" i="31"/>
  <c r="F30" i="31"/>
  <c r="D30" i="31"/>
  <c r="E30" i="31" s="1"/>
  <c r="K29" i="31"/>
  <c r="F29" i="31"/>
  <c r="D29" i="31"/>
  <c r="E29" i="31" s="1"/>
  <c r="K28" i="31"/>
  <c r="F28" i="31"/>
  <c r="D28" i="31"/>
  <c r="E28" i="31" s="1"/>
  <c r="U18" i="31"/>
  <c r="S18" i="31"/>
  <c r="R18" i="31"/>
  <c r="L18" i="31"/>
  <c r="K18" i="31"/>
  <c r="J18" i="31"/>
  <c r="G18" i="31"/>
  <c r="F18" i="31"/>
  <c r="E18" i="31"/>
  <c r="D18" i="31"/>
  <c r="O17" i="31"/>
  <c r="M17" i="31"/>
  <c r="P17" i="31" s="1"/>
  <c r="O16" i="31"/>
  <c r="I16" i="31"/>
  <c r="I18" i="31" s="1"/>
  <c r="H16" i="31"/>
  <c r="O15" i="31"/>
  <c r="M15" i="31"/>
  <c r="P15" i="31" s="1"/>
  <c r="O14" i="31"/>
  <c r="M14" i="31"/>
  <c r="P14" i="31" s="1"/>
  <c r="O13" i="31"/>
  <c r="M13" i="31"/>
  <c r="O12" i="31"/>
  <c r="H12" i="31"/>
  <c r="O11" i="31"/>
  <c r="M11" i="31"/>
  <c r="P11" i="31" s="1"/>
  <c r="O10" i="31"/>
  <c r="M10" i="31"/>
  <c r="N10" i="31" s="1"/>
  <c r="O9" i="31"/>
  <c r="M9" i="31"/>
  <c r="N9" i="31" s="1"/>
  <c r="O8" i="31"/>
  <c r="M8" i="31"/>
  <c r="P8" i="31" s="1"/>
  <c r="O7" i="31"/>
  <c r="M7" i="31"/>
  <c r="P7" i="31" s="1"/>
  <c r="O6" i="31"/>
  <c r="M6" i="31"/>
  <c r="O5" i="31"/>
  <c r="M5" i="31"/>
  <c r="P5" i="31" s="1"/>
  <c r="O4" i="31"/>
  <c r="M4" i="31"/>
  <c r="O1" i="31"/>
  <c r="F47" i="47" l="1"/>
  <c r="F48" i="47" s="1"/>
  <c r="F51" i="47" s="1"/>
  <c r="D48" i="53"/>
  <c r="N48" i="53"/>
  <c r="E48" i="53"/>
  <c r="O48" i="53"/>
  <c r="H48" i="53"/>
  <c r="P48" i="53"/>
  <c r="J48" i="53"/>
  <c r="C48" i="53"/>
  <c r="I48" i="53"/>
  <c r="L48" i="53"/>
  <c r="G48" i="53"/>
  <c r="M48" i="53"/>
  <c r="P58" i="31"/>
  <c r="Q46" i="47"/>
  <c r="B11" i="6"/>
  <c r="H18" i="43"/>
  <c r="Q5" i="31"/>
  <c r="Q8" i="31"/>
  <c r="M16" i="31"/>
  <c r="N16" i="31" s="1"/>
  <c r="N17" i="31"/>
  <c r="B2" i="6"/>
  <c r="N9" i="43"/>
  <c r="S35" i="47"/>
  <c r="S46" i="47" s="1"/>
  <c r="Q7" i="31"/>
  <c r="P9" i="31"/>
  <c r="Q9" i="31" s="1"/>
  <c r="N15" i="31"/>
  <c r="D35" i="37"/>
  <c r="H11" i="48"/>
  <c r="D47" i="47"/>
  <c r="D48" i="47" s="1"/>
  <c r="D51" i="47" s="1"/>
  <c r="H27" i="48"/>
  <c r="M16" i="43"/>
  <c r="N16" i="43" s="1"/>
  <c r="N8" i="31"/>
  <c r="F42" i="31"/>
  <c r="C16" i="6"/>
  <c r="P10" i="43"/>
  <c r="N5" i="31"/>
  <c r="N7" i="31"/>
  <c r="P10" i="31"/>
  <c r="Q10" i="31" s="1"/>
  <c r="Q15" i="31"/>
  <c r="Q17" i="31"/>
  <c r="O18" i="31"/>
  <c r="G16" i="6"/>
  <c r="E47" i="47"/>
  <c r="E48" i="47" s="1"/>
  <c r="E51" i="47" s="1"/>
  <c r="Q11" i="31"/>
  <c r="N11" i="31"/>
  <c r="Q14" i="31"/>
  <c r="D37" i="37"/>
  <c r="R21" i="37"/>
  <c r="H28" i="48" s="1"/>
  <c r="R20" i="37"/>
  <c r="E35" i="45"/>
  <c r="F35" i="45" s="1"/>
  <c r="E34" i="45"/>
  <c r="F34" i="45" s="1"/>
  <c r="E41" i="45"/>
  <c r="F41" i="45" s="1"/>
  <c r="E31" i="45"/>
  <c r="F31" i="45" s="1"/>
  <c r="E39" i="45"/>
  <c r="F39" i="45" s="1"/>
  <c r="E33" i="45"/>
  <c r="F33" i="45" s="1"/>
  <c r="L48" i="31"/>
  <c r="G48" i="31"/>
  <c r="C48" i="31"/>
  <c r="H18" i="31"/>
  <c r="M12" i="31"/>
  <c r="N4" i="31"/>
  <c r="N14" i="31"/>
  <c r="N6" i="43"/>
  <c r="N4" i="43"/>
  <c r="P4" i="43"/>
  <c r="D7" i="49"/>
  <c r="I49" i="31"/>
  <c r="P4" i="31"/>
  <c r="Q4" i="31" s="1"/>
  <c r="P6" i="31"/>
  <c r="Q6" i="31" s="1"/>
  <c r="N6" i="31"/>
  <c r="N7" i="43"/>
  <c r="P7" i="43"/>
  <c r="P13" i="31"/>
  <c r="Q13" i="31" s="1"/>
  <c r="N13" i="31"/>
  <c r="P5" i="43"/>
  <c r="N5" i="43"/>
  <c r="D42" i="43"/>
  <c r="E42" i="43" s="1"/>
  <c r="E28" i="43"/>
  <c r="D4" i="49"/>
  <c r="D11" i="49"/>
  <c r="R17" i="37"/>
  <c r="M12" i="43"/>
  <c r="N12" i="43" s="1"/>
  <c r="K49" i="31"/>
  <c r="C49" i="31"/>
  <c r="N49" i="31"/>
  <c r="B10" i="6"/>
  <c r="D49" i="31"/>
  <c r="P49" i="31"/>
  <c r="Q48" i="47"/>
  <c r="G49" i="31"/>
  <c r="P50" i="31"/>
  <c r="H49" i="31"/>
  <c r="Q74" i="47"/>
  <c r="R72" i="47"/>
  <c r="D72" i="47"/>
  <c r="D42" i="31"/>
  <c r="E42" i="31" s="1"/>
  <c r="D51" i="31"/>
  <c r="G51" i="31"/>
  <c r="J51" i="31"/>
  <c r="L51" i="31"/>
  <c r="O51" i="31"/>
  <c r="E51" i="31"/>
  <c r="E48" i="31"/>
  <c r="H48" i="31"/>
  <c r="M48" i="31"/>
  <c r="F51" i="31"/>
  <c r="I51" i="31"/>
  <c r="K51" i="31"/>
  <c r="N51" i="31"/>
  <c r="G47" i="31"/>
  <c r="L47" i="31"/>
  <c r="D48" i="31"/>
  <c r="J48" i="31"/>
  <c r="O48" i="31"/>
  <c r="H51" i="31"/>
  <c r="M51" i="31"/>
  <c r="E47" i="31"/>
  <c r="D47" i="31"/>
  <c r="J47" i="31"/>
  <c r="O47" i="31"/>
  <c r="C47" i="31"/>
  <c r="I47" i="31"/>
  <c r="N47" i="31"/>
  <c r="H47" i="31"/>
  <c r="M47" i="31"/>
  <c r="C58" i="43"/>
  <c r="B70" i="43"/>
  <c r="C81" i="43"/>
  <c r="B81" i="43"/>
  <c r="D58" i="43"/>
  <c r="D81" i="43"/>
  <c r="C93" i="43"/>
  <c r="E70" i="43"/>
  <c r="D70" i="43"/>
  <c r="B93" i="43"/>
  <c r="C70" i="43"/>
  <c r="P8" i="43"/>
  <c r="P11" i="43"/>
  <c r="F42" i="43"/>
  <c r="N13" i="43"/>
  <c r="P14" i="43"/>
  <c r="N17" i="43"/>
  <c r="P15" i="43"/>
  <c r="F62" i="31"/>
  <c r="E72" i="47"/>
  <c r="Q57" i="47"/>
  <c r="S57" i="47" s="1"/>
  <c r="Q63" i="47"/>
  <c r="S63" i="47" s="1"/>
  <c r="Q65" i="47"/>
  <c r="S65" i="47" s="1"/>
  <c r="G72" i="47"/>
  <c r="Q62" i="47"/>
  <c r="S62" i="47" s="1"/>
  <c r="Q71" i="47"/>
  <c r="S71" i="47" s="1"/>
  <c r="F72" i="47"/>
  <c r="Q61" i="47"/>
  <c r="S61" i="47" s="1"/>
  <c r="Q67" i="47"/>
  <c r="S67" i="47" s="1"/>
  <c r="Q69" i="47"/>
  <c r="S69" i="47" s="1"/>
  <c r="Q59" i="47"/>
  <c r="S59" i="47" s="1"/>
  <c r="Q70" i="47"/>
  <c r="S70" i="47" s="1"/>
  <c r="B72" i="47"/>
  <c r="B74" i="47" s="1"/>
  <c r="B78" i="47" s="1"/>
  <c r="Q60" i="47"/>
  <c r="S60" i="47" s="1"/>
  <c r="Q66" i="47"/>
  <c r="S66" i="47" s="1"/>
  <c r="Q68" i="47"/>
  <c r="S68" i="47" s="1"/>
  <c r="Q58" i="47"/>
  <c r="S58" i="47" s="1"/>
  <c r="Q64" i="47"/>
  <c r="S64" i="47" s="1"/>
  <c r="Q56" i="47"/>
  <c r="C72" i="47"/>
  <c r="C74" i="47" s="1"/>
  <c r="C78" i="47" s="1"/>
  <c r="D52" i="53" l="1"/>
  <c r="K52" i="53"/>
  <c r="M52" i="53"/>
  <c r="H52" i="53"/>
  <c r="F48" i="53"/>
  <c r="O52" i="53"/>
  <c r="I52" i="53"/>
  <c r="N52" i="53"/>
  <c r="G52" i="53"/>
  <c r="E52" i="53"/>
  <c r="L52" i="53"/>
  <c r="K48" i="53"/>
  <c r="J52" i="53"/>
  <c r="F52" i="53"/>
  <c r="P52" i="53"/>
  <c r="C67" i="37"/>
  <c r="B8" i="33"/>
  <c r="Q5" i="36" s="1"/>
  <c r="P16" i="43"/>
  <c r="I48" i="31"/>
  <c r="P16" i="31"/>
  <c r="Q16" i="31" s="1"/>
  <c r="P54" i="31"/>
  <c r="P62" i="31" s="1"/>
  <c r="C54" i="37"/>
  <c r="E54" i="37" s="1"/>
  <c r="E6" i="49" s="1"/>
  <c r="H12" i="48"/>
  <c r="M18" i="31"/>
  <c r="I19" i="31" s="1"/>
  <c r="E49" i="47"/>
  <c r="D49" i="47"/>
  <c r="F49" i="47"/>
  <c r="N48" i="31"/>
  <c r="G51" i="47"/>
  <c r="B49" i="47"/>
  <c r="C49" i="47"/>
  <c r="M18" i="43"/>
  <c r="K19" i="43" s="1"/>
  <c r="P12" i="43"/>
  <c r="E11" i="45"/>
  <c r="F11" i="45" s="1"/>
  <c r="C60" i="37"/>
  <c r="C13" i="49" s="1"/>
  <c r="C55" i="37"/>
  <c r="C53" i="37"/>
  <c r="E53" i="37" s="1"/>
  <c r="E5" i="49" s="1"/>
  <c r="D36" i="37"/>
  <c r="C59" i="37"/>
  <c r="C12" i="49" s="1"/>
  <c r="C63" i="37"/>
  <c r="C52" i="37"/>
  <c r="C10" i="49"/>
  <c r="C62" i="37"/>
  <c r="C64" i="37"/>
  <c r="C58" i="37"/>
  <c r="C11" i="49" s="1"/>
  <c r="E12" i="45"/>
  <c r="F12" i="45" s="1"/>
  <c r="E40" i="45"/>
  <c r="F40" i="45" s="1"/>
  <c r="E42" i="45"/>
  <c r="F42" i="45" s="1"/>
  <c r="E36" i="45"/>
  <c r="F36" i="45" s="1"/>
  <c r="E38" i="45"/>
  <c r="F38" i="45" s="1"/>
  <c r="E37" i="45"/>
  <c r="F37" i="45" s="1"/>
  <c r="E18" i="45"/>
  <c r="E8" i="45"/>
  <c r="E16" i="45"/>
  <c r="E10" i="45"/>
  <c r="E32" i="45"/>
  <c r="F32" i="45" s="1"/>
  <c r="F47" i="31"/>
  <c r="K48" i="31"/>
  <c r="K47" i="31"/>
  <c r="C66" i="37"/>
  <c r="P47" i="31"/>
  <c r="P12" i="31"/>
  <c r="Q12" i="31" s="1"/>
  <c r="N12" i="31"/>
  <c r="D73" i="47"/>
  <c r="D74" i="47" s="1"/>
  <c r="E73" i="47"/>
  <c r="E74" i="47" s="1"/>
  <c r="F73" i="47"/>
  <c r="F74" i="47" s="1"/>
  <c r="C51" i="31"/>
  <c r="B58" i="43"/>
  <c r="E58" i="43"/>
  <c r="B75" i="47"/>
  <c r="C75" i="47"/>
  <c r="S56" i="47"/>
  <c r="Q72" i="47"/>
  <c r="D93" i="43" l="1"/>
  <c r="Q7" i="36" s="1"/>
  <c r="Q8" i="36" s="1"/>
  <c r="Q48" i="53" s="1"/>
  <c r="S72" i="47"/>
  <c r="C52" i="53"/>
  <c r="K19" i="31"/>
  <c r="C6" i="49"/>
  <c r="E7" i="45"/>
  <c r="F7" i="45" s="1"/>
  <c r="E30" i="45"/>
  <c r="F30" i="45" s="1"/>
  <c r="N18" i="31"/>
  <c r="L19" i="31"/>
  <c r="E19" i="31"/>
  <c r="P18" i="31"/>
  <c r="Q18" i="31" s="1"/>
  <c r="P18" i="43"/>
  <c r="F19" i="31"/>
  <c r="G19" i="31"/>
  <c r="J19" i="31"/>
  <c r="D19" i="31"/>
  <c r="H19" i="31"/>
  <c r="E66" i="37"/>
  <c r="E21" i="49" s="1"/>
  <c r="C21" i="49"/>
  <c r="E62" i="37"/>
  <c r="E16" i="49" s="1"/>
  <c r="C16" i="49"/>
  <c r="E64" i="37"/>
  <c r="E18" i="49" s="1"/>
  <c r="C18" i="49"/>
  <c r="E63" i="37"/>
  <c r="E17" i="49" s="1"/>
  <c r="C17" i="49"/>
  <c r="E67" i="37"/>
  <c r="E22" i="49" s="1"/>
  <c r="C22" i="49"/>
  <c r="I19" i="43"/>
  <c r="D19" i="43"/>
  <c r="H19" i="43"/>
  <c r="F19" i="43"/>
  <c r="J19" i="43"/>
  <c r="L19" i="43"/>
  <c r="E19" i="43"/>
  <c r="N18" i="43"/>
  <c r="G19" i="43"/>
  <c r="C5" i="49"/>
  <c r="E60" i="37"/>
  <c r="E13" i="49" s="1"/>
  <c r="E57" i="37"/>
  <c r="E10" i="49" s="1"/>
  <c r="E15" i="45"/>
  <c r="E19" i="45"/>
  <c r="F19" i="45" s="1"/>
  <c r="E59" i="37"/>
  <c r="E12" i="49" s="1"/>
  <c r="E58" i="37"/>
  <c r="E11" i="49" s="1"/>
  <c r="C7" i="49"/>
  <c r="E55" i="37"/>
  <c r="E7" i="49" s="1"/>
  <c r="C4" i="49"/>
  <c r="E52" i="37"/>
  <c r="E4" i="49" s="1"/>
  <c r="E14" i="45"/>
  <c r="E13" i="45"/>
  <c r="E17" i="45"/>
  <c r="F8" i="45"/>
  <c r="F10" i="45"/>
  <c r="F16" i="45"/>
  <c r="F18" i="45"/>
  <c r="E9" i="45"/>
  <c r="F48" i="31"/>
  <c r="D78" i="47"/>
  <c r="D75" i="47"/>
  <c r="E78" i="47"/>
  <c r="E75" i="47"/>
  <c r="F75" i="47"/>
  <c r="F78" i="47"/>
  <c r="P51" i="31"/>
  <c r="M19" i="31" l="1"/>
  <c r="E8" i="49"/>
  <c r="E19" i="49"/>
  <c r="E23" i="49"/>
  <c r="E47" i="37"/>
  <c r="E48" i="37"/>
  <c r="M19" i="43"/>
  <c r="E14" i="49"/>
  <c r="F15" i="45"/>
  <c r="F14" i="45"/>
  <c r="F13" i="45"/>
  <c r="F17" i="45"/>
  <c r="E46" i="37"/>
  <c r="E45" i="37"/>
  <c r="F9" i="45"/>
  <c r="P48" i="31"/>
  <c r="G78" i="47"/>
  <c r="E24" i="49" l="1"/>
  <c r="B29" i="49" s="1"/>
  <c r="E49" i="37"/>
  <c r="E68" i="37"/>
  <c r="D38" i="37" l="1"/>
  <c r="Q51" i="53" s="1"/>
  <c r="E50" i="37"/>
  <c r="R13" i="37"/>
  <c r="R9" i="37"/>
  <c r="R27" i="37" l="1"/>
  <c r="R28" i="37" s="1"/>
  <c r="R14" i="37"/>
  <c r="K39" i="37"/>
  <c r="J39" i="37"/>
  <c r="I39" i="37"/>
  <c r="H39" i="37"/>
  <c r="G39" i="37"/>
  <c r="F39" i="37"/>
  <c r="D39" i="37"/>
  <c r="E39" i="37"/>
  <c r="R39" i="37"/>
  <c r="Q39" i="37"/>
  <c r="P39" i="37"/>
  <c r="O39" i="37"/>
  <c r="N39" i="37"/>
  <c r="L39" i="37"/>
  <c r="C41" i="37"/>
  <c r="R23" i="37"/>
  <c r="R24" i="37" l="1"/>
  <c r="R32" i="37" s="1"/>
  <c r="K47" i="53" l="1"/>
  <c r="K49" i="53" s="1"/>
  <c r="K55" i="53" s="1"/>
  <c r="K4" i="36" l="1"/>
  <c r="K6" i="36" s="1"/>
  <c r="K9" i="36" s="1"/>
  <c r="M52" i="31" l="1"/>
  <c r="M53" i="31" s="1"/>
  <c r="E52" i="31"/>
  <c r="E53" i="31" s="1"/>
  <c r="J52" i="31"/>
  <c r="J53" i="31" s="1"/>
  <c r="O52" i="31"/>
  <c r="O53" i="31" s="1"/>
  <c r="N52" i="31"/>
  <c r="N53" i="31" s="1"/>
  <c r="P52" i="31"/>
  <c r="P53" i="31" s="1"/>
  <c r="P63" i="31" s="1"/>
  <c r="H52" i="31"/>
  <c r="H53" i="31" s="1"/>
  <c r="F52" i="31" l="1"/>
  <c r="F53" i="31" s="1"/>
  <c r="F63" i="31" s="1"/>
  <c r="F4" i="36" s="1"/>
  <c r="F6" i="36" s="1"/>
  <c r="F9" i="36" s="1"/>
  <c r="L52" i="31"/>
  <c r="L53" i="31" s="1"/>
  <c r="M47" i="53" s="1"/>
  <c r="M49" i="53" s="1"/>
  <c r="D52" i="31"/>
  <c r="D53" i="31" s="1"/>
  <c r="D63" i="31" s="1"/>
  <c r="D4" i="36" s="1"/>
  <c r="D6" i="36" s="1"/>
  <c r="D9" i="36" s="1"/>
  <c r="K52" i="31"/>
  <c r="K53" i="31" s="1"/>
  <c r="K63" i="31" s="1"/>
  <c r="L4" i="36" s="1"/>
  <c r="L6" i="36" s="1"/>
  <c r="L9" i="36" s="1"/>
  <c r="G52" i="31"/>
  <c r="G53" i="31" s="1"/>
  <c r="G47" i="53" s="1"/>
  <c r="G49" i="53" s="1"/>
  <c r="C52" i="31"/>
  <c r="C53" i="31" s="1"/>
  <c r="C47" i="53" s="1"/>
  <c r="C49" i="53" s="1"/>
  <c r="I52" i="31"/>
  <c r="I53" i="31" s="1"/>
  <c r="I47" i="53" s="1"/>
  <c r="I49" i="53" s="1"/>
  <c r="N47" i="53"/>
  <c r="N49" i="53" s="1"/>
  <c r="M63" i="31"/>
  <c r="N4" i="36" s="1"/>
  <c r="N6" i="36" s="1"/>
  <c r="N9" i="36" s="1"/>
  <c r="O63" i="31"/>
  <c r="P4" i="36" s="1"/>
  <c r="P6" i="36" s="1"/>
  <c r="P9" i="36" s="1"/>
  <c r="P47" i="53"/>
  <c r="P49" i="53" s="1"/>
  <c r="F47" i="53"/>
  <c r="F49" i="53" s="1"/>
  <c r="O47" i="53"/>
  <c r="O49" i="53" s="1"/>
  <c r="N63" i="31"/>
  <c r="O4" i="36" s="1"/>
  <c r="O6" i="36" s="1"/>
  <c r="O9" i="36" s="1"/>
  <c r="E47" i="53"/>
  <c r="E49" i="53" s="1"/>
  <c r="E63" i="31"/>
  <c r="E4" i="36" s="1"/>
  <c r="E6" i="36" s="1"/>
  <c r="E9" i="36" s="1"/>
  <c r="J63" i="31"/>
  <c r="J4" i="36" s="1"/>
  <c r="J6" i="36" s="1"/>
  <c r="J9" i="36" s="1"/>
  <c r="J47" i="53"/>
  <c r="J49" i="53" s="1"/>
  <c r="H47" i="53"/>
  <c r="H49" i="53" s="1"/>
  <c r="H63" i="31"/>
  <c r="H4" i="36" s="1"/>
  <c r="H6" i="36" s="1"/>
  <c r="H9" i="36" s="1"/>
  <c r="L63" i="31" l="1"/>
  <c r="M4" i="36" s="1"/>
  <c r="M6" i="36" s="1"/>
  <c r="M9" i="36" s="1"/>
  <c r="D47" i="53"/>
  <c r="D49" i="53" s="1"/>
  <c r="C63" i="31"/>
  <c r="C4" i="36" s="1"/>
  <c r="C6" i="36" s="1"/>
  <c r="C9" i="36" s="1"/>
  <c r="G63" i="31"/>
  <c r="G4" i="36" s="1"/>
  <c r="G6" i="36" s="1"/>
  <c r="G9" i="36" s="1"/>
  <c r="L47" i="53"/>
  <c r="L49" i="53" s="1"/>
  <c r="I63" i="31"/>
  <c r="I4" i="36" s="1"/>
  <c r="I6" i="36" s="1"/>
  <c r="I9" i="36" s="1"/>
  <c r="P59" i="52"/>
  <c r="N59" i="52"/>
  <c r="G59" i="52"/>
  <c r="Q59" i="52"/>
  <c r="Q60" i="52"/>
  <c r="L13" i="37"/>
  <c r="Q61" i="52"/>
  <c r="Q63" i="52" s="1"/>
  <c r="Q58" i="52"/>
  <c r="Q62" i="52" s="1"/>
  <c r="F58" i="52"/>
  <c r="F62" i="52" s="1"/>
  <c r="F63" i="52" s="1"/>
  <c r="E58" i="52"/>
  <c r="E62" i="52" s="1"/>
  <c r="I58" i="52"/>
  <c r="I62" i="52" s="1"/>
  <c r="P58" i="52"/>
  <c r="P62" i="52" s="1"/>
  <c r="L56" i="52"/>
  <c r="L58" i="52" s="1"/>
  <c r="L62" i="52" s="1"/>
  <c r="L57" i="52"/>
  <c r="L61" i="52" s="1"/>
  <c r="L63" i="52" s="1"/>
  <c r="O56" i="52"/>
  <c r="O13" i="37"/>
  <c r="I56" i="52"/>
  <c r="I57" i="52"/>
  <c r="I61" i="52" s="1"/>
  <c r="I63" i="52"/>
  <c r="D9" i="37"/>
  <c r="Q9" i="37"/>
  <c r="Q6" i="37"/>
  <c r="Q8" i="37" s="1"/>
  <c r="Q13" i="37" s="1"/>
  <c r="Q23" i="37"/>
  <c r="Q24" i="37" s="1"/>
  <c r="Q25" i="37"/>
  <c r="G15" i="48"/>
  <c r="G41" i="48" s="1"/>
  <c r="P56" i="52"/>
  <c r="P57" i="52"/>
  <c r="P61" i="52" s="1"/>
  <c r="P63" i="52" s="1"/>
  <c r="G56" i="52"/>
  <c r="G58" i="52" s="1"/>
  <c r="G62" i="52" s="1"/>
  <c r="G57" i="52"/>
  <c r="G61" i="52"/>
  <c r="G63" i="52"/>
  <c r="H57" i="52"/>
  <c r="H61" i="52" s="1"/>
  <c r="H63" i="52" s="1"/>
  <c r="Q56" i="52"/>
  <c r="Q57" i="52" s="1"/>
  <c r="Q51" i="52"/>
  <c r="N56" i="52"/>
  <c r="D56" i="52"/>
  <c r="D57" i="52" s="1"/>
  <c r="D61" i="52" s="1"/>
  <c r="F56" i="52"/>
  <c r="F57" i="52"/>
  <c r="F61" i="52"/>
  <c r="E56" i="52"/>
  <c r="E57" i="52" s="1"/>
  <c r="E61" i="52"/>
  <c r="E51" i="52"/>
  <c r="E6" i="37"/>
  <c r="E9" i="37" s="1"/>
  <c r="E27" i="37" s="1"/>
  <c r="O51" i="52"/>
  <c r="O6" i="37"/>
  <c r="O8" i="37" s="1"/>
  <c r="O23" i="37" s="1"/>
  <c r="O9" i="37"/>
  <c r="O14" i="37" s="1"/>
  <c r="O27" i="37"/>
  <c r="O28" i="37" s="1"/>
  <c r="E30" i="48" s="1"/>
  <c r="O29" i="37"/>
  <c r="E31" i="48" s="1"/>
  <c r="E42" i="48" s="1"/>
  <c r="H8" i="37"/>
  <c r="H13" i="37" s="1"/>
  <c r="H23" i="37"/>
  <c r="H24" i="37" s="1"/>
  <c r="H25" i="37"/>
  <c r="F9" i="48" s="1"/>
  <c r="F37" i="48" s="1"/>
  <c r="P51" i="52"/>
  <c r="P6" i="37" s="1"/>
  <c r="G51" i="52"/>
  <c r="G6" i="37" s="1"/>
  <c r="F51" i="52"/>
  <c r="F6" i="37"/>
  <c r="F8" i="37" s="1"/>
  <c r="H56" i="52"/>
  <c r="H58" i="52" s="1"/>
  <c r="H62" i="52"/>
  <c r="J6" i="37"/>
  <c r="J9" i="37" s="1"/>
  <c r="J8" i="37"/>
  <c r="J13" i="37" s="1"/>
  <c r="J23" i="37"/>
  <c r="L51" i="52"/>
  <c r="L6" i="37"/>
  <c r="L8" i="37" s="1"/>
  <c r="L23" i="37" s="1"/>
  <c r="C13" i="48" s="1"/>
  <c r="L9" i="37"/>
  <c r="L14" i="37" s="1"/>
  <c r="J58" i="52"/>
  <c r="J62" i="52"/>
  <c r="J63" i="52" s="1"/>
  <c r="I6" i="37"/>
  <c r="I8" i="37" s="1"/>
  <c r="I51" i="52"/>
  <c r="H51" i="52"/>
  <c r="H6" i="37"/>
  <c r="H9" i="37" s="1"/>
  <c r="N51" i="52"/>
  <c r="N6" i="37"/>
  <c r="N9" i="37" s="1"/>
  <c r="N8" i="37"/>
  <c r="N13" i="37" s="1"/>
  <c r="N23" i="37"/>
  <c r="D13" i="48" s="1"/>
  <c r="D51" i="52"/>
  <c r="D6" i="37"/>
  <c r="D8" i="37"/>
  <c r="D13" i="37" s="1"/>
  <c r="D23" i="37"/>
  <c r="K51" i="52"/>
  <c r="K6" i="37" s="1"/>
  <c r="K8" i="37" s="1"/>
  <c r="K56" i="52"/>
  <c r="K57" i="52" s="1"/>
  <c r="K61" i="52" s="1"/>
  <c r="J51" i="52"/>
  <c r="J56" i="52"/>
  <c r="J57" i="52"/>
  <c r="J61" i="52" s="1"/>
  <c r="K13" i="37" l="1"/>
  <c r="K23" i="37"/>
  <c r="H14" i="37"/>
  <c r="H27" i="37"/>
  <c r="G8" i="37"/>
  <c r="G9" i="37"/>
  <c r="P9" i="37"/>
  <c r="P8" i="37"/>
  <c r="R61" i="52"/>
  <c r="I13" i="37"/>
  <c r="I23" i="37"/>
  <c r="J14" i="37"/>
  <c r="J27" i="37"/>
  <c r="N14" i="37"/>
  <c r="N27" i="37"/>
  <c r="F23" i="37"/>
  <c r="F13" i="37"/>
  <c r="C23" i="48"/>
  <c r="E28" i="37"/>
  <c r="C24" i="48" s="1"/>
  <c r="E29" i="37"/>
  <c r="C25" i="48" s="1"/>
  <c r="C38" i="48" s="1"/>
  <c r="D27" i="37"/>
  <c r="D14" i="37"/>
  <c r="F9" i="37"/>
  <c r="E29" i="48"/>
  <c r="J24" i="37"/>
  <c r="H7" i="48"/>
  <c r="F8" i="48"/>
  <c r="D58" i="52"/>
  <c r="D62" i="52" s="1"/>
  <c r="R62" i="52" s="1"/>
  <c r="I9" i="37"/>
  <c r="F7" i="48"/>
  <c r="N57" i="52"/>
  <c r="N61" i="52" s="1"/>
  <c r="N58" i="52"/>
  <c r="N62" i="52" s="1"/>
  <c r="K9" i="37"/>
  <c r="K58" i="52"/>
  <c r="K62" i="52" s="1"/>
  <c r="K63" i="52" s="1"/>
  <c r="E14" i="37"/>
  <c r="L27" i="37"/>
  <c r="O58" i="52"/>
  <c r="O62" i="52" s="1"/>
  <c r="O57" i="52"/>
  <c r="O61" i="52" s="1"/>
  <c r="O63" i="52" s="1"/>
  <c r="N24" i="37"/>
  <c r="B7" i="48"/>
  <c r="D24" i="37"/>
  <c r="Q14" i="37"/>
  <c r="Q27" i="37"/>
  <c r="E63" i="52"/>
  <c r="G14" i="48"/>
  <c r="G13" i="48"/>
  <c r="O24" i="37"/>
  <c r="E8" i="37"/>
  <c r="L24" i="37"/>
  <c r="E13" i="48"/>
  <c r="G14" i="37" l="1"/>
  <c r="G27" i="37"/>
  <c r="N63" i="52"/>
  <c r="H8" i="48"/>
  <c r="C14" i="48"/>
  <c r="L25" i="37"/>
  <c r="G7" i="48"/>
  <c r="I24" i="37"/>
  <c r="E13" i="37"/>
  <c r="E23" i="37"/>
  <c r="C29" i="48"/>
  <c r="L28" i="37"/>
  <c r="C30" i="48" s="1"/>
  <c r="E14" i="48"/>
  <c r="O32" i="37"/>
  <c r="B8" i="48"/>
  <c r="P13" i="37"/>
  <c r="P23" i="37"/>
  <c r="O25" i="37"/>
  <c r="D25" i="37"/>
  <c r="K14" i="37"/>
  <c r="K27" i="37"/>
  <c r="P14" i="37"/>
  <c r="P27" i="37"/>
  <c r="J28" i="37"/>
  <c r="H24" i="48" s="1"/>
  <c r="J29" i="37"/>
  <c r="H25" i="48" s="1"/>
  <c r="H38" i="48" s="1"/>
  <c r="H23" i="48"/>
  <c r="D14" i="48"/>
  <c r="N25" i="37"/>
  <c r="G13" i="37"/>
  <c r="G23" i="37"/>
  <c r="F23" i="48"/>
  <c r="H28" i="37"/>
  <c r="H29" i="37"/>
  <c r="I27" i="37"/>
  <c r="I14" i="37"/>
  <c r="F14" i="37"/>
  <c r="F27" i="37"/>
  <c r="D7" i="48"/>
  <c r="F24" i="37"/>
  <c r="Q28" i="37"/>
  <c r="G29" i="48"/>
  <c r="N28" i="37"/>
  <c r="D30" i="48" s="1"/>
  <c r="D29" i="48"/>
  <c r="N29" i="37"/>
  <c r="D31" i="48" s="1"/>
  <c r="D42" i="48" s="1"/>
  <c r="D63" i="52"/>
  <c r="B13" i="48"/>
  <c r="K24" i="37"/>
  <c r="K25" i="37"/>
  <c r="J25" i="37"/>
  <c r="D28" i="37"/>
  <c r="B24" i="48" s="1"/>
  <c r="B23" i="48"/>
  <c r="R63" i="52"/>
  <c r="B9" i="48" l="1"/>
  <c r="B37" i="48" s="1"/>
  <c r="D31" i="37"/>
  <c r="F25" i="48"/>
  <c r="F38" i="48" s="1"/>
  <c r="F39" i="48" s="1"/>
  <c r="H31" i="37"/>
  <c r="G50" i="53" s="1"/>
  <c r="G54" i="53" s="1"/>
  <c r="G55" i="53" s="1"/>
  <c r="D8" i="48"/>
  <c r="L32" i="37"/>
  <c r="G23" i="48"/>
  <c r="I28" i="37"/>
  <c r="G24" i="48" s="1"/>
  <c r="B14" i="48"/>
  <c r="F24" i="48"/>
  <c r="H32" i="37"/>
  <c r="G29" i="37"/>
  <c r="E25" i="48" s="1"/>
  <c r="E38" i="48" s="1"/>
  <c r="E23" i="48"/>
  <c r="G28" i="37"/>
  <c r="E24" i="48" s="1"/>
  <c r="B15" i="48"/>
  <c r="B41" i="48" s="1"/>
  <c r="C15" i="48"/>
  <c r="C41" i="48" s="1"/>
  <c r="G30" i="48"/>
  <c r="Q32" i="37"/>
  <c r="E15" i="48"/>
  <c r="E41" i="48" s="1"/>
  <c r="E43" i="48" s="1"/>
  <c r="O31" i="37"/>
  <c r="N50" i="53" s="1"/>
  <c r="N54" i="53" s="1"/>
  <c r="N55" i="53" s="1"/>
  <c r="L29" i="37"/>
  <c r="C31" i="48" s="1"/>
  <c r="C42" i="48" s="1"/>
  <c r="F13" i="48"/>
  <c r="P24" i="37"/>
  <c r="P25" i="37"/>
  <c r="F25" i="37"/>
  <c r="C7" i="48"/>
  <c r="E24" i="37"/>
  <c r="J32" i="37"/>
  <c r="G24" i="37"/>
  <c r="G25" i="37" s="1"/>
  <c r="E7" i="48"/>
  <c r="P29" i="37"/>
  <c r="F31" i="48" s="1"/>
  <c r="F42" i="48" s="1"/>
  <c r="F29" i="48"/>
  <c r="P28" i="37"/>
  <c r="F30" i="48" s="1"/>
  <c r="F28" i="37"/>
  <c r="D24" i="48" s="1"/>
  <c r="D23" i="48"/>
  <c r="D32" i="37"/>
  <c r="G8" i="48"/>
  <c r="D29" i="37"/>
  <c r="N31" i="37"/>
  <c r="M50" i="53" s="1"/>
  <c r="M54" i="53" s="1"/>
  <c r="M55" i="53" s="1"/>
  <c r="D15" i="48"/>
  <c r="D41" i="48" s="1"/>
  <c r="D43" i="48" s="1"/>
  <c r="B29" i="48"/>
  <c r="K28" i="37"/>
  <c r="B30" i="48" s="1"/>
  <c r="J31" i="37"/>
  <c r="I50" i="53" s="1"/>
  <c r="I54" i="53" s="1"/>
  <c r="I55" i="53" s="1"/>
  <c r="H9" i="48"/>
  <c r="H37" i="48" s="1"/>
  <c r="H39" i="48" s="1"/>
  <c r="Q29" i="37"/>
  <c r="N32" i="37"/>
  <c r="I25" i="37"/>
  <c r="E9" i="48" l="1"/>
  <c r="E37" i="48" s="1"/>
  <c r="E39" i="48" s="1"/>
  <c r="G31" i="37"/>
  <c r="F50" i="53" s="1"/>
  <c r="F54" i="53" s="1"/>
  <c r="F55" i="53" s="1"/>
  <c r="G31" i="48"/>
  <c r="G42" i="48" s="1"/>
  <c r="G43" i="48" s="1"/>
  <c r="Q31" i="37"/>
  <c r="P50" i="53" s="1"/>
  <c r="P54" i="53" s="1"/>
  <c r="P55" i="53" s="1"/>
  <c r="R29" i="37"/>
  <c r="H31" i="48" s="1"/>
  <c r="H42" i="48" s="1"/>
  <c r="B25" i="48"/>
  <c r="B38" i="48" s="1"/>
  <c r="I32" i="37"/>
  <c r="D9" i="48"/>
  <c r="D37" i="48" s="1"/>
  <c r="F32" i="37"/>
  <c r="F15" i="48"/>
  <c r="F41" i="48" s="1"/>
  <c r="F43" i="48" s="1"/>
  <c r="P31" i="37"/>
  <c r="O50" i="53" s="1"/>
  <c r="O54" i="53" s="1"/>
  <c r="O55" i="53" s="1"/>
  <c r="C43" i="48"/>
  <c r="K29" i="37"/>
  <c r="F14" i="48"/>
  <c r="P32" i="37"/>
  <c r="L31" i="37"/>
  <c r="L50" i="53" s="1"/>
  <c r="L54" i="53" s="1"/>
  <c r="L55" i="53" s="1"/>
  <c r="K32" i="37"/>
  <c r="E8" i="48"/>
  <c r="G32" i="37"/>
  <c r="C50" i="53"/>
  <c r="C54" i="53" s="1"/>
  <c r="C55" i="53" s="1"/>
  <c r="G9" i="48"/>
  <c r="G37" i="48" s="1"/>
  <c r="G39" i="48" s="1"/>
  <c r="F29" i="37"/>
  <c r="D25" i="48" s="1"/>
  <c r="D38" i="48" s="1"/>
  <c r="E32" i="37"/>
  <c r="C8" i="48"/>
  <c r="I29" i="37"/>
  <c r="G25" i="48" s="1"/>
  <c r="G38" i="48" s="1"/>
  <c r="B39" i="48"/>
  <c r="E25" i="37"/>
  <c r="B31" i="48" l="1"/>
  <c r="B42" i="48" s="1"/>
  <c r="B43" i="48" s="1"/>
  <c r="K31" i="37"/>
  <c r="J50" i="53" s="1"/>
  <c r="J54" i="53" s="1"/>
  <c r="J55" i="53" s="1"/>
  <c r="C9" i="48"/>
  <c r="C37" i="48" s="1"/>
  <c r="E31" i="37"/>
  <c r="R25" i="37"/>
  <c r="H15" i="48" s="1"/>
  <c r="H41" i="48" s="1"/>
  <c r="H43" i="48" s="1"/>
  <c r="B28" i="49" s="1"/>
  <c r="B30" i="49" s="1"/>
  <c r="F31" i="37"/>
  <c r="E50" i="53" s="1"/>
  <c r="E54" i="53" s="1"/>
  <c r="E55" i="53" s="1"/>
  <c r="I31" i="37"/>
  <c r="H50" i="53" s="1"/>
  <c r="H54" i="53" s="1"/>
  <c r="H55" i="53" s="1"/>
  <c r="D39" i="48"/>
  <c r="D50" i="53" l="1"/>
  <c r="D54" i="53" s="1"/>
  <c r="D55" i="53" s="1"/>
  <c r="R31" i="37"/>
  <c r="Q50" i="53" l="1"/>
  <c r="C40" i="37"/>
  <c r="C42" i="37" l="1"/>
  <c r="D41" i="37" s="1"/>
  <c r="Q54" i="53"/>
  <c r="S50" i="53"/>
  <c r="T50" i="53" l="1"/>
  <c r="R17" i="52" s="1"/>
  <c r="S52" i="53"/>
  <c r="D40" i="37"/>
  <c r="F17" i="52" l="1"/>
  <c r="F9" i="52" s="1"/>
  <c r="F24" i="52" s="1"/>
  <c r="F35" i="52" s="1"/>
  <c r="R9" i="52"/>
  <c r="R24" i="52" s="1"/>
  <c r="R35" i="52" s="1"/>
  <c r="E17" i="52"/>
  <c r="E9" i="52" s="1"/>
  <c r="E24" i="52" s="1"/>
  <c r="E35" i="52" s="1"/>
  <c r="Q17" i="52"/>
  <c r="Q9" i="52" s="1"/>
  <c r="Q24" i="52" s="1"/>
  <c r="Q35" i="52" s="1"/>
  <c r="J17" i="52"/>
  <c r="J9" i="52" s="1"/>
  <c r="J24" i="52" s="1"/>
  <c r="J35" i="52" s="1"/>
  <c r="H17" i="52"/>
  <c r="H9" i="52" s="1"/>
  <c r="H24" i="52" s="1"/>
  <c r="H35" i="52" s="1"/>
  <c r="I17" i="52"/>
  <c r="I9" i="52" s="1"/>
  <c r="I24" i="52" s="1"/>
  <c r="I35" i="52" s="1"/>
  <c r="N17" i="52"/>
  <c r="N9" i="52" s="1"/>
  <c r="N24" i="52" s="1"/>
  <c r="N35" i="52" s="1"/>
  <c r="C10" i="42"/>
  <c r="C11" i="42" s="1"/>
  <c r="Q4" i="36" s="1"/>
  <c r="Q6" i="36" s="1"/>
  <c r="D17" i="52"/>
  <c r="D9" i="52" s="1"/>
  <c r="D24" i="52" s="1"/>
  <c r="D35" i="52" s="1"/>
  <c r="G17" i="52"/>
  <c r="G9" i="52" s="1"/>
  <c r="G24" i="52" s="1"/>
  <c r="G35" i="52" s="1"/>
  <c r="K17" i="52"/>
  <c r="K9" i="52" s="1"/>
  <c r="K24" i="52" s="1"/>
  <c r="K35" i="52" s="1"/>
  <c r="O17" i="52"/>
  <c r="O9" i="52" s="1"/>
  <c r="O24" i="52" s="1"/>
  <c r="O35" i="52" s="1"/>
  <c r="L17" i="52"/>
  <c r="L9" i="52" s="1"/>
  <c r="L24" i="52" s="1"/>
  <c r="L35" i="52" s="1"/>
  <c r="P17" i="52"/>
  <c r="P9" i="52" s="1"/>
  <c r="P24" i="52" s="1"/>
  <c r="P35" i="52" s="1"/>
  <c r="Q9" i="36" l="1"/>
  <c r="Q47" i="53"/>
  <c r="Q49" i="53" l="1"/>
  <c r="R47" i="53"/>
  <c r="Q55" i="53" l="1"/>
  <c r="R48" i="53"/>
</calcChain>
</file>

<file path=xl/comments1.xml><?xml version="1.0" encoding="utf-8"?>
<comments xmlns="http://schemas.openxmlformats.org/spreadsheetml/2006/main">
  <authors>
    <author>.</author>
  </authors>
  <commentList>
    <comment ref="A17" authorId="0">
      <text>
        <r>
          <rPr>
            <b/>
            <sz val="9"/>
            <color indexed="81"/>
            <rFont val="Tahoma"/>
            <family val="2"/>
          </rPr>
          <t>Actualitzat a 10/09/2025</t>
        </r>
      </text>
    </comment>
    <comment ref="A24" authorId="0">
      <text>
        <r>
          <rPr>
            <b/>
            <sz val="8"/>
            <color indexed="81"/>
            <rFont val="Tahoma"/>
            <family val="2"/>
          </rPr>
          <t>.:</t>
        </r>
        <r>
          <rPr>
            <sz val="8"/>
            <color indexed="81"/>
            <rFont val="Tahoma"/>
            <family val="2"/>
          </rPr>
          <t xml:space="preserve">
Apliquem descompte del 30%</t>
        </r>
      </text>
    </comment>
    <comment ref="A28" authorId="0">
      <text>
        <r>
          <rPr>
            <b/>
            <sz val="8"/>
            <color indexed="81"/>
            <rFont val="Tahoma"/>
            <family val="2"/>
          </rPr>
          <t>.:</t>
        </r>
        <r>
          <rPr>
            <sz val="8"/>
            <color indexed="81"/>
            <rFont val="Tahoma"/>
            <family val="2"/>
          </rPr>
          <t xml:space="preserve">
Apliquem descompte del 30%</t>
        </r>
      </text>
    </comment>
    <comment ref="D34" authorId="0">
      <text>
        <r>
          <rPr>
            <b/>
            <sz val="9"/>
            <color indexed="81"/>
            <rFont val="Tahoma"/>
            <family val="2"/>
          </rPr>
          <t>Comptant només habitatges PAP (els habitatges AT només recaptariem part fixa)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.:</t>
        </r>
        <r>
          <rPr>
            <sz val="9"/>
            <color indexed="81"/>
            <rFont val="Tahoma"/>
            <family val="2"/>
          </rPr>
          <t xml:space="preserve">
La taxa de 2025 de mitjana un 12% dels habitatges han estat en aquest tram.</t>
        </r>
      </text>
    </comment>
    <comment ref="B57" authorId="0">
      <text>
        <r>
          <rPr>
            <b/>
            <sz val="9"/>
            <color indexed="81"/>
            <rFont val="Tahoma"/>
            <family val="2"/>
          </rPr>
          <t>.:</t>
        </r>
        <r>
          <rPr>
            <sz val="9"/>
            <color indexed="81"/>
            <rFont val="Tahoma"/>
            <family val="2"/>
          </rPr>
          <t xml:space="preserve">
La taxa de 2025 de mitjana un 12% dels habitatges han estat en aquest tram.</t>
        </r>
      </text>
    </comment>
    <comment ref="A65" authorId="0">
      <text>
        <r>
          <rPr>
            <b/>
            <sz val="9"/>
            <color indexed="81"/>
            <rFont val="Tahoma"/>
            <family val="2"/>
          </rPr>
          <t>A la part de deixalleria hem tingut en compte el total dels habitatges perquè els habitatges AT només tindran de part variable de la seva participació a la deixalleria.</t>
        </r>
      </text>
    </comment>
  </commentList>
</comments>
</file>

<file path=xl/comments2.xml><?xml version="1.0" encoding="utf-8"?>
<comments xmlns="http://schemas.openxmlformats.org/spreadsheetml/2006/main">
  <authors>
    <author>.</author>
    <author>practiques.mambient</author>
  </authors>
  <commentList>
    <comment ref="C12" authorId="0">
      <text>
        <r>
          <rPr>
            <b/>
            <sz val="9"/>
            <color indexed="81"/>
            <rFont val="Tahoma"/>
            <family val="2"/>
          </rPr>
          <t>.:</t>
        </r>
        <r>
          <rPr>
            <sz val="9"/>
            <color indexed="81"/>
            <rFont val="Tahoma"/>
            <family val="2"/>
          </rPr>
          <t xml:space="preserve">
2026. No ho hem actualitzat, només ha de variar les despseses CCG i si urb. Fornells passa a PAP.</t>
        </r>
      </text>
    </comment>
    <comment ref="G12" authorId="0">
      <text>
        <r>
          <rPr>
            <b/>
            <sz val="8"/>
            <color indexed="81"/>
            <rFont val="Tahoma"/>
            <family val="2"/>
          </rPr>
          <t xml:space="preserve">.:6 cases recollida PAP
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.:</t>
        </r>
        <r>
          <rPr>
            <sz val="9"/>
            <color indexed="81"/>
            <rFont val="Tahoma"/>
            <family val="2"/>
          </rPr>
          <t xml:space="preserve">
Calcult fet a l'excel RESTA 2025</t>
        </r>
      </text>
    </comment>
    <comment ref="R20" authorId="0">
      <text>
        <r>
          <rPr>
            <b/>
            <sz val="9"/>
            <color indexed="81"/>
            <rFont val="Tahoma"/>
            <family val="2"/>
          </rPr>
          <t>.:</t>
        </r>
        <r>
          <rPr>
            <sz val="9"/>
            <color indexed="81"/>
            <rFont val="Tahoma"/>
            <family val="2"/>
          </rPr>
          <t xml:space="preserve">
Calculat a control regularització ingressos 2025. Hem estimat que es facturarà un 10% més ja que s'aplicarà el nou conveni.</t>
        </r>
      </text>
    </comment>
    <comment ref="C25" authorId="0">
      <text>
        <r>
          <rPr>
            <b/>
            <sz val="9"/>
            <color indexed="81"/>
            <rFont val="Tahoma"/>
            <family val="2"/>
          </rPr>
          <t>.:</t>
        </r>
        <r>
          <rPr>
            <sz val="9"/>
            <color indexed="81"/>
            <rFont val="Tahoma"/>
            <family val="2"/>
          </rPr>
          <t xml:space="preserve">
Cost actualitzat a 2026 incrementant un 10% ja que a agost 2026 finalitza el contracte actual.</t>
        </r>
      </text>
    </comment>
    <comment ref="N25" authorId="0">
      <text>
        <r>
          <rPr>
            <b/>
            <sz val="9"/>
            <color indexed="81"/>
            <rFont val="Tahoma"/>
            <family val="2"/>
          </rPr>
          <t>No tenim aquest servei delegat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6" authorId="0">
      <text>
        <r>
          <rPr>
            <b/>
            <sz val="8"/>
            <color indexed="81"/>
            <rFont val="Tahoma"/>
            <family val="2"/>
          </rPr>
          <t>.:</t>
        </r>
        <r>
          <rPr>
            <sz val="8"/>
            <color indexed="81"/>
            <rFont val="Tahoma"/>
            <family val="2"/>
          </rPr>
          <t xml:space="preserve">
Ens informen que estimen un cost de recollida de FV de 5.264,61 euros. Els indiquem que han de reduir aquest cost a 3.500 euros anuals.</t>
        </r>
      </text>
    </comment>
    <comment ref="E26" authorId="0">
      <text>
        <r>
          <rPr>
            <b/>
            <sz val="8"/>
            <color indexed="81"/>
            <rFont val="Tahoma"/>
            <family val="2"/>
          </rPr>
          <t>Cost del 2023 informat a 16/09/24</t>
        </r>
      </text>
    </comment>
    <comment ref="H26" authorId="1">
      <text>
        <r>
          <rPr>
            <b/>
            <sz val="8"/>
            <color indexed="81"/>
            <rFont val="Tahoma"/>
            <family val="2"/>
          </rPr>
          <t>practiques.mambient:</t>
        </r>
        <r>
          <rPr>
            <sz val="8"/>
            <color indexed="81"/>
            <rFont val="Tahoma"/>
            <family val="2"/>
          </rPr>
          <t xml:space="preserve">
Actualment el sistema de banyera fixa els costa 13.000€ anual. Els recomanem que passin a sistema de banyeres puntuals. Posem cost de recollida de banyeres (8 hores) 10 caps de setmana anuals.</t>
        </r>
      </text>
    </comment>
    <comment ref="L26" authorId="0">
      <text>
        <r>
          <rPr>
            <sz val="9"/>
            <color indexed="81"/>
            <rFont val="Tahoma"/>
            <family val="2"/>
          </rPr>
          <t xml:space="preserve">Calculat segons mitjana de recollida de 50 big-bags/mes
</t>
        </r>
      </text>
    </comment>
    <comment ref="N26" authorId="0">
      <text>
        <r>
          <rPr>
            <sz val="9"/>
            <color indexed="81"/>
            <rFont val="Tahoma"/>
            <family val="2"/>
          </rPr>
          <t xml:space="preserve">Calculat segons mitjana de recollida de 50 big-bags/mes
</t>
        </r>
      </text>
    </comment>
    <comment ref="H27" authorId="0">
      <text>
        <r>
          <rPr>
            <b/>
            <sz val="9"/>
            <color indexed="81"/>
            <rFont val="Tahoma"/>
            <family val="2"/>
          </rPr>
          <t>.:</t>
        </r>
        <r>
          <rPr>
            <sz val="9"/>
            <color indexed="81"/>
            <rFont val="Tahoma"/>
            <family val="2"/>
          </rPr>
          <t xml:space="preserve">
No hem fet valoració econòmica. A 23 setembre informen que volen passar a banyeres puntuals. Estimem 6.000€ recollida i la meitat del cost de tractament</t>
        </r>
      </text>
    </comment>
    <comment ref="Q27" authorId="0">
      <text>
        <r>
          <rPr>
            <b/>
            <sz val="9"/>
            <color indexed="81"/>
            <rFont val="Tahoma"/>
            <family val="2"/>
          </rPr>
          <t>.:</t>
        </r>
        <r>
          <rPr>
            <sz val="9"/>
            <color indexed="81"/>
            <rFont val="Tahoma"/>
            <family val="2"/>
          </rPr>
          <t xml:space="preserve">
Introduïm l'import del pressupost sol·licitat a setembre 2025 dos vegades.</t>
        </r>
      </text>
    </comment>
    <comment ref="D30" authorId="0">
      <text>
        <r>
          <rPr>
            <b/>
            <sz val="8"/>
            <color indexed="81"/>
            <rFont val="Tahoma"/>
            <family val="2"/>
          </rPr>
          <t>.:</t>
        </r>
        <r>
          <rPr>
            <sz val="8"/>
            <color indexed="81"/>
            <rFont val="Tahoma"/>
            <family val="2"/>
          </rPr>
          <t xml:space="preserve">
Ens diuen que el cost és de 14.002,06. Els proposem que baixin aquest cost a 7.000
</t>
        </r>
      </text>
    </comment>
    <comment ref="E30" authorId="0">
      <text>
        <r>
          <rPr>
            <sz val="8"/>
            <color indexed="81"/>
            <rFont val="Tahoma"/>
            <family val="2"/>
          </rPr>
          <t>Cost del 2023 informat a 16/09/24</t>
        </r>
      </text>
    </comment>
    <comment ref="G30" authorId="0">
      <text>
        <r>
          <rPr>
            <b/>
            <sz val="9"/>
            <color indexed="81"/>
            <rFont val="Tahoma"/>
            <family val="2"/>
          </rPr>
          <t>.:</t>
        </r>
        <r>
          <rPr>
            <sz val="9"/>
            <color indexed="81"/>
            <rFont val="Tahoma"/>
            <family val="2"/>
          </rPr>
          <t xml:space="preserve">
d25</t>
        </r>
      </text>
    </comment>
    <comment ref="E33" authorId="0">
      <text>
        <r>
          <rPr>
            <sz val="9"/>
            <color indexed="81"/>
            <rFont val="Tahoma"/>
            <family val="2"/>
          </rPr>
          <t>7.300€ son recollides dels residus de NV. Els hem tret ja que es liquidarà als ajuntaments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.:</t>
        </r>
        <r>
          <rPr>
            <sz val="9"/>
            <color indexed="81"/>
            <rFont val="Tahoma"/>
            <family val="2"/>
          </rPr>
          <t xml:space="preserve">
despesa 2026 0. Arratrar no despesa 3035 + 2800</t>
        </r>
      </text>
    </comment>
    <comment ref="A49" authorId="0">
      <text>
        <r>
          <rPr>
            <b/>
            <sz val="9"/>
            <color indexed="81"/>
            <rFont val="Tahoma"/>
            <family val="2"/>
          </rPr>
          <t>Modificat (abans 90%)</t>
        </r>
      </text>
    </comment>
    <comment ref="A50" authorId="0">
      <text>
        <r>
          <rPr>
            <b/>
            <sz val="9"/>
            <color indexed="81"/>
            <rFont val="Tahoma"/>
            <family val="2"/>
          </rPr>
          <t>Modificat amb el nombre d'habitatges en data 1r trimestre 2024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0" authorId="0">
      <text>
        <r>
          <rPr>
            <b/>
            <sz val="8"/>
            <color indexed="81"/>
            <rFont val="Tahoma"/>
            <family val="2"/>
          </rPr>
          <t>.:</t>
        </r>
        <r>
          <rPr>
            <sz val="8"/>
            <color indexed="81"/>
            <rFont val="Tahoma"/>
            <family val="2"/>
          </rPr>
          <t xml:space="preserve">
Apliquem descompte del 30%</t>
        </r>
      </text>
    </comment>
  </commentList>
</comments>
</file>

<file path=xl/comments3.xml><?xml version="1.0" encoding="utf-8"?>
<comments xmlns="http://schemas.openxmlformats.org/spreadsheetml/2006/main">
  <authors>
    <author>.</author>
  </authors>
  <commentList>
    <comment ref="Q52" authorId="0">
      <text>
        <r>
          <rPr>
            <b/>
            <sz val="9"/>
            <color indexed="81"/>
            <rFont val="Tahoma"/>
            <family val="2"/>
          </rPr>
          <t>.:</t>
        </r>
        <r>
          <rPr>
            <sz val="9"/>
            <color indexed="81"/>
            <rFont val="Tahoma"/>
            <family val="2"/>
          </rPr>
          <t xml:space="preserve">
Per ara hem calculat que ingressarem el 90% de l'import estimat pel 2025</t>
        </r>
      </text>
    </comment>
  </commentList>
</comments>
</file>

<file path=xl/comments4.xml><?xml version="1.0" encoding="utf-8"?>
<comments xmlns="http://schemas.openxmlformats.org/spreadsheetml/2006/main">
  <authors>
    <author>.</author>
    <author>practiques.mambient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.:</t>
        </r>
        <r>
          <rPr>
            <sz val="8"/>
            <color indexed="81"/>
            <rFont val="Tahoma"/>
            <family val="2"/>
          </rPr>
          <t xml:space="preserve">
AT construïda després de la implantació del PAP.</t>
        </r>
      </text>
    </comment>
    <comment ref="A9" authorId="0">
      <text>
        <r>
          <rPr>
            <b/>
            <sz val="8"/>
            <color indexed="81"/>
            <rFont val="Tahoma"/>
            <family val="2"/>
          </rPr>
          <t>.:</t>
        </r>
        <r>
          <rPr>
            <sz val="8"/>
            <color indexed="81"/>
            <rFont val="Tahoma"/>
            <family val="2"/>
          </rPr>
          <t xml:space="preserve">
AT construïda després de la implantació del PAP.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practiques.mambient:</t>
        </r>
        <r>
          <rPr>
            <sz val="8"/>
            <color indexed="81"/>
            <rFont val="Tahoma"/>
            <family val="2"/>
          </rPr>
          <t xml:space="preserve">
Aquesta despesa no la imputem al PxG ja que correspon a NV i el liquidarem mensualment a l'Ajuntament.</t>
        </r>
      </text>
    </comment>
  </commentList>
</comments>
</file>

<file path=xl/sharedStrings.xml><?xml version="1.0" encoding="utf-8"?>
<sst xmlns="http://schemas.openxmlformats.org/spreadsheetml/2006/main" count="1373" uniqueCount="448">
  <si>
    <t>Aiguaviva</t>
  </si>
  <si>
    <t>Bescanó</t>
  </si>
  <si>
    <t>Bordils</t>
  </si>
  <si>
    <t>Cervià deTer</t>
  </si>
  <si>
    <t>Flaçà</t>
  </si>
  <si>
    <t>Fornells de la Selva</t>
  </si>
  <si>
    <t>Juià</t>
  </si>
  <si>
    <t>Llambilles</t>
  </si>
  <si>
    <t>Quart</t>
  </si>
  <si>
    <t>Sant Gregori</t>
  </si>
  <si>
    <t>Sant Joan de Mollet</t>
  </si>
  <si>
    <t>Sant Julià de Ramis</t>
  </si>
  <si>
    <t>Campllong</t>
  </si>
  <si>
    <t>Sarrià deTer</t>
  </si>
  <si>
    <t>TOTAL</t>
  </si>
  <si>
    <t>FORM</t>
  </si>
  <si>
    <t>ENVASOS</t>
  </si>
  <si>
    <t>PiC</t>
  </si>
  <si>
    <t>HABITATGES TOTAL</t>
  </si>
  <si>
    <t>HABITATGES PaP NUCLI</t>
  </si>
  <si>
    <t>HABITATGES BAIXES FREQÜÈNCIES</t>
  </si>
  <si>
    <t>GP BAIXES FREQÜÈNCIES</t>
  </si>
  <si>
    <t>VIDRE</t>
  </si>
  <si>
    <t>PODA</t>
  </si>
  <si>
    <t>RESTA</t>
  </si>
  <si>
    <t>RS</t>
  </si>
  <si>
    <t>IMPROPIS FORM</t>
  </si>
  <si>
    <t>TRACTAMENT FORM</t>
  </si>
  <si>
    <t>PART VARIABLE</t>
  </si>
  <si>
    <t>COST SERVEI</t>
  </si>
  <si>
    <t>DESPESES CONSELL</t>
  </si>
  <si>
    <t>ÀREES TANCADES</t>
  </si>
  <si>
    <t>AIGUAVIVA</t>
  </si>
  <si>
    <t>HABITATGES DISSEMINATS</t>
  </si>
  <si>
    <t>GP DISSEMINATS</t>
  </si>
  <si>
    <t>GP NUCLIS</t>
  </si>
  <si>
    <t>Llambilles (NO LI CARRGEUEM LES 57 ACTIVITATS)</t>
  </si>
  <si>
    <t>BORDILS</t>
  </si>
  <si>
    <t>BESCANÓ</t>
  </si>
  <si>
    <t>CAMPLLONG</t>
  </si>
  <si>
    <t>CERVIÀ DE TER</t>
  </si>
  <si>
    <t>FLAÇÀ</t>
  </si>
  <si>
    <t>FORNELLS DE LA SELVA</t>
  </si>
  <si>
    <t>JUIÀ</t>
  </si>
  <si>
    <t>LLAMBILLES</t>
  </si>
  <si>
    <t>QUART</t>
  </si>
  <si>
    <t>SANT GREGORI</t>
  </si>
  <si>
    <t>SANT JOAN DE MOLLET</t>
  </si>
  <si>
    <t>SANT JULIÀ DE RAMIS</t>
  </si>
  <si>
    <t>SARRIÀ DE TER</t>
  </si>
  <si>
    <t>DEIXALLERIA</t>
  </si>
  <si>
    <t>IMPORT DE LICITACIÓ</t>
  </si>
  <si>
    <t>COST RECOLLIDA PAP</t>
  </si>
  <si>
    <t xml:space="preserve">ESTIMACIÓ COST RECOLLIDA FV </t>
  </si>
  <si>
    <t>Sant Julià de Ramis (inclou medinyà)</t>
  </si>
  <si>
    <t>ESTIMACIÓ COST TRACTAMENT FORM</t>
  </si>
  <si>
    <t>TRASTOS</t>
  </si>
  <si>
    <t>ROBA</t>
  </si>
  <si>
    <t>OLI</t>
  </si>
  <si>
    <t>ESTIMAT COM SI TOT EL 2022 HAGUÉS ESTAT PAP</t>
  </si>
  <si>
    <t>DADES 2022 (NO ESTIMAT)</t>
  </si>
  <si>
    <t>FALTEN DADES DE LA RECOLLIDA DE PODA PER PART DE L'AJUNTAMENT</t>
  </si>
  <si>
    <t>TOTAL 2021</t>
  </si>
  <si>
    <t>POBLACIÓ 2021</t>
  </si>
  <si>
    <t>438,36</t>
  </si>
  <si>
    <t>POBLACIÓ 2022</t>
  </si>
  <si>
    <t>DADES ARC 2021</t>
  </si>
  <si>
    <t>GENERACIÓ PER CÀPITA 2021 (KG/HAB/DIA)</t>
  </si>
  <si>
    <t>VARIACIÓ GENERACIÓ PER CÀPITA</t>
  </si>
  <si>
    <t>DESPESES (IVA INCLÒS)</t>
  </si>
  <si>
    <t>INGRESSOS (SENSE IVA)</t>
  </si>
  <si>
    <t>DESPESES CC RECAPTACIÓ TAXA COMARCAL</t>
  </si>
  <si>
    <t>GESTIÓ CC RECOLLIDA PAP</t>
  </si>
  <si>
    <t>COST RECOLLIDA VOLUMINOSOS (inclou despeses gestió CC)</t>
  </si>
  <si>
    <t>COST RECOLLIDA OLI VEGETAL USAT (inclou despeses gestió CC)</t>
  </si>
  <si>
    <t>DEIXALLERIA (inclou despeses gestió CC)</t>
  </si>
  <si>
    <t>atenció bolquers (qr)</t>
  </si>
  <si>
    <t>APORTACIONS ANUALS</t>
  </si>
  <si>
    <t>TRAM PARTICIPACIÓ MOLT BAIXA</t>
  </si>
  <si>
    <t>TRAM PARTICIPACIÓ BAIXA</t>
  </si>
  <si>
    <t>TRAM PARTICIPACIÓ MITJANA</t>
  </si>
  <si>
    <t>6 - 26</t>
  </si>
  <si>
    <t>PART FIXA</t>
  </si>
  <si>
    <t>RECAPTACIÓ MÀXIMA</t>
  </si>
  <si>
    <t>RECAPTACIÓ ALTA</t>
  </si>
  <si>
    <t xml:space="preserve"> RECAPTACIÓ MITJANA</t>
  </si>
  <si>
    <t xml:space="preserve"> RECAPTACIÓ BAIXA</t>
  </si>
  <si>
    <t>&gt; 46</t>
  </si>
  <si>
    <t>TRAMS PARTICIPACIÓ PAP NUCLI</t>
  </si>
  <si>
    <t>&gt; 52</t>
  </si>
  <si>
    <t>&lt; 3</t>
  </si>
  <si>
    <t>3 - 5</t>
  </si>
  <si>
    <t>HIPÒTESI PARTICIPACIÓ</t>
  </si>
  <si>
    <t>IMPORT TRAM</t>
  </si>
  <si>
    <t xml:space="preserve">RECAPTACIÓ </t>
  </si>
  <si>
    <t>TOTAL RECAPTACIÓ DOMÈSTICA</t>
  </si>
  <si>
    <t>TRAM PARTICIPACIÓ ÒPTIMA</t>
  </si>
  <si>
    <t>&lt;6</t>
  </si>
  <si>
    <t>6 - 20</t>
  </si>
  <si>
    <t>21 - 46</t>
  </si>
  <si>
    <t>3 - 9</t>
  </si>
  <si>
    <t>10 - 52</t>
  </si>
  <si>
    <t>TOTAL BALANÇ (ABANS TAXA)</t>
  </si>
  <si>
    <t>&gt;=1</t>
  </si>
  <si>
    <t>HABITATGES PAP AF</t>
  </si>
  <si>
    <t>HABITATGES PAP BF</t>
  </si>
  <si>
    <t>HABITATGES AT</t>
  </si>
  <si>
    <t>HABITATGES DONATS D'ALTA</t>
  </si>
  <si>
    <t>--</t>
  </si>
  <si>
    <t>Cervià de Ter</t>
  </si>
  <si>
    <t>Sarrià de Ter</t>
  </si>
  <si>
    <t>COST TRACTAMENT FORM 2023 (no es coneixen tarifes 2024)</t>
  </si>
  <si>
    <t>actualitzat 2023 extrapolat desembre</t>
  </si>
  <si>
    <t>dades pap</t>
  </si>
  <si>
    <t>pendent</t>
  </si>
  <si>
    <t>ESTIMACIÓ COST TRACTAMENT RESTA (inclou resta de les extres)</t>
  </si>
  <si>
    <t>INGRÉS VIDRE</t>
  </si>
  <si>
    <t>INGRÉS PC ECOEMBES</t>
  </si>
  <si>
    <t>INGRÉS ENVASOS ECOEMBES</t>
  </si>
  <si>
    <t>RETORN CÀNON FORM RECOLLIDA</t>
  </si>
  <si>
    <t>RETORN CÀNON FORM TRACTAMENT</t>
  </si>
  <si>
    <t>he suposat que aquestes quantitats tenen iva i li trec, sobre les despeses del CC no he tret res</t>
  </si>
  <si>
    <t>&lt;5</t>
  </si>
  <si>
    <t>estimació tract voluminosos (amb tones 22 i preus 24)</t>
  </si>
  <si>
    <t>Retorn del cànon de la poda? Qui el cobra?  no tinc dades</t>
  </si>
  <si>
    <t>ESTIMACIÓ COST TRACTAMENT FV (tones 22 i manteniment preus 23)</t>
  </si>
  <si>
    <t>TRACTAMENT DE VOLUMINOSOS (tones 22 i preus 24)</t>
  </si>
  <si>
    <t>COSTOS SERVEIS EXTRES + BOSSES COMPOSTABLES (estimació feta en base al 23)</t>
  </si>
  <si>
    <t>GENERACIÓ PER CÀPITA 2023 (KG/HAB/DIA)</t>
  </si>
  <si>
    <t>PART FIXA MUNICIPAL</t>
  </si>
  <si>
    <t>PART FIXA COMARCAL</t>
  </si>
  <si>
    <t>COMARCAL</t>
  </si>
  <si>
    <t>MUNICIPAL</t>
  </si>
  <si>
    <t>INGRESSOS (SENSE IVA) - DESPESES PART COMARCAL</t>
  </si>
  <si>
    <t>DESPESES PART MUNICIPAL</t>
  </si>
  <si>
    <t>La part variable és comuna per a tots els municipis i depen exclusivament de:</t>
  </si>
  <si>
    <t>El comportament dels habitatges amb la recollida PAP</t>
  </si>
  <si>
    <t>Ús deixalleria</t>
  </si>
  <si>
    <t>ESTIMACIÓ DESPESES 2024</t>
  </si>
  <si>
    <t>Nº HABITATGES</t>
  </si>
  <si>
    <t>BALANÇ DOMÈSTIC A TAXA</t>
  </si>
  <si>
    <t>RECAPTACIÓ PART VARIABLE</t>
  </si>
  <si>
    <t>FORM PARTICIPACIÓ</t>
  </si>
  <si>
    <t>ENVASOS PARTICIPACIÓ</t>
  </si>
  <si>
    <t>RESTA PARTICIPACIÓ</t>
  </si>
  <si>
    <t>DEIXALLERIA PARTICIPACIÓ</t>
  </si>
  <si>
    <t>RECAPTACIÓ PART FIXA</t>
  </si>
  <si>
    <t>Nº habitatges</t>
  </si>
  <si>
    <t>QUOTA PART FIXA (comarcal + municipal)</t>
  </si>
  <si>
    <t>QUOTA REDUÏDA PART FIXA (comarcal + municipal)</t>
  </si>
  <si>
    <t>Recaptació estàndard</t>
  </si>
  <si>
    <t>Recaptació quota reduïda</t>
  </si>
  <si>
    <t>TOTAL RECAPTAT PART FIXA</t>
  </si>
  <si>
    <t>TOTAL ESTÀNDARD</t>
  </si>
  <si>
    <t>MITJANA PART VARIABLE/HABITATGE ESTÀNDARD</t>
  </si>
  <si>
    <t>FORM PARTICIPACIÓ (DESCOMPTE 30%)</t>
  </si>
  <si>
    <t>ENVASOS PARTICIPACIÓ  (DESCOMPTE 30%)</t>
  </si>
  <si>
    <t>RESTA PARTICIPACIÓ (DESCOMPTE 30%)</t>
  </si>
  <si>
    <t>DEIXALLERIA (DESCOMPTE 30%)</t>
  </si>
  <si>
    <t>TOTAL QUOTA REDUÏDA</t>
  </si>
  <si>
    <t>Recaptació variable quota reduïda</t>
  </si>
  <si>
    <t>Recaptació variable domèstica estàndard</t>
  </si>
  <si>
    <t>TOTAL RECAPTAT PART VARIABLE</t>
  </si>
  <si>
    <t>TOTAL DESPESES</t>
  </si>
  <si>
    <t>TOTAL DESPESES PART MUNICIPAL</t>
  </si>
  <si>
    <t>TOTAL DESPESES PART COMARCAL</t>
  </si>
  <si>
    <t>TARIFA PART FIXA COMARCAL</t>
  </si>
  <si>
    <t>TARIFA PART FIXA MUNICIPAL</t>
  </si>
  <si>
    <t>TOTAL RECAPTAT HABITATGES</t>
  </si>
  <si>
    <t>Habitatges pagats (95%) totalment</t>
  </si>
  <si>
    <t>Habitatges pagats amb quota reduïda (5%)</t>
  </si>
  <si>
    <t>DESPESES</t>
  </si>
  <si>
    <t>INGRESSOS</t>
  </si>
  <si>
    <t>TOTAL COST SERVEI</t>
  </si>
  <si>
    <t>TOTAL INGRESSOS</t>
  </si>
  <si>
    <t>RECAPTACIÓ HABITATGES FIXA</t>
  </si>
  <si>
    <t>RECAPTACIÓ HABITATGES VARIABLE</t>
  </si>
  <si>
    <t>TOTAL BALANÇ</t>
  </si>
  <si>
    <t>TOTAL INGRÉS COMERCIAL COMARCAL (2023)</t>
  </si>
  <si>
    <t>FORM (L)</t>
  </si>
  <si>
    <t>RESTA (L)</t>
  </si>
  <si>
    <t>ENVASOS (L)</t>
  </si>
  <si>
    <t>PIC (L)</t>
  </si>
  <si>
    <t>VIDRE (L)</t>
  </si>
  <si>
    <t>MULTI</t>
  </si>
  <si>
    <t>Nº ACT.ÚS AT</t>
  </si>
  <si>
    <t>Nº ACT. DESCONNECTADES</t>
  </si>
  <si>
    <t>INGRÉS x ÚS AT</t>
  </si>
  <si>
    <t>INGRÉS x VOLUM</t>
  </si>
  <si>
    <t>TOTAL INGRÉS</t>
  </si>
  <si>
    <t>Sant Julià de Ramis - Medinyà</t>
  </si>
  <si>
    <t>euros/litre</t>
  </si>
  <si>
    <t>euros/litre (corregit)</t>
  </si>
  <si>
    <t>ABRIL 2024</t>
  </si>
  <si>
    <t>ACT.TANCADES / LOCALS BUITS</t>
  </si>
  <si>
    <t>INGRÉS x LOCALS BUITS</t>
  </si>
  <si>
    <t>Aiguaviva (BF)</t>
  </si>
  <si>
    <t>Bescanó (AF)</t>
  </si>
  <si>
    <t>Bescanó (BF)</t>
  </si>
  <si>
    <t>Sant Julià de Ramis - Medinyà (AF)</t>
  </si>
  <si>
    <t>Sant Julià de Ramis - Medinyà (BF)</t>
  </si>
  <si>
    <t>EUROS/LITRE TAXA ALTA FREQ</t>
  </si>
  <si>
    <t>EUROS/LITRE TAXA BAIXA FREQ</t>
  </si>
  <si>
    <t>PART ESPECÍFICA</t>
  </si>
  <si>
    <t>Municipi</t>
  </si>
  <si>
    <t>€/habitatge</t>
  </si>
  <si>
    <t>Sant Julià de Ramis-Medinyà</t>
  </si>
  <si>
    <t>PART GLOBAL</t>
  </si>
  <si>
    <t>Recaptació màxima</t>
  </si>
  <si>
    <t>Recaptació alta</t>
  </si>
  <si>
    <t>Recaptació mitjana</t>
  </si>
  <si>
    <t>Recaptació baixa</t>
  </si>
  <si>
    <t>&gt;46</t>
  </si>
  <si>
    <t>Reducció quota</t>
  </si>
  <si>
    <t>TOTAL RECAPTAT PART FIXA AMB REDUCCIÓ</t>
  </si>
  <si>
    <t>Recaptació variable domèstica</t>
  </si>
  <si>
    <t>Servei de reforç recollida comercial</t>
  </si>
  <si>
    <t>Fracció</t>
  </si>
  <si>
    <t>Paper i cartró</t>
  </si>
  <si>
    <t>Vidre</t>
  </si>
  <si>
    <t>Envasos lleugers</t>
  </si>
  <si>
    <t>Orgànica</t>
  </si>
  <si>
    <t>Resta</t>
  </si>
  <si>
    <t>AMPLIACIONS SERVEI PAP (Nº habitatges)</t>
  </si>
  <si>
    <t>Nº habitatges AT</t>
  </si>
  <si>
    <t>Nº habitatges PAP</t>
  </si>
  <si>
    <t>COSTOS SERVEIS EXTRES + BOSSES COMPOSTABLES   (estimació feta en base al 23)</t>
  </si>
  <si>
    <t>€ PART FIXA (desconnectades, locals buits...)</t>
  </si>
  <si>
    <t>Habitatges AT</t>
  </si>
  <si>
    <t>Recaptació part fixa domèstica</t>
  </si>
  <si>
    <t>Part fixa (global + específica)</t>
  </si>
  <si>
    <t>Total recaptat amb reducció</t>
  </si>
  <si>
    <r>
      <t xml:space="preserve"> </t>
    </r>
    <r>
      <rPr>
        <b/>
        <sz val="11"/>
        <color rgb="FFFFFFFF"/>
        <rFont val="Arial"/>
        <family val="2"/>
      </rPr>
      <t xml:space="preserve">TOTAL </t>
    </r>
  </si>
  <si>
    <t>Recaptació part variable domèstica</t>
  </si>
  <si>
    <t>Tram participació orgànica</t>
  </si>
  <si>
    <t>Estimació participació</t>
  </si>
  <si>
    <t>Import tram</t>
  </si>
  <si>
    <t>Recaptació</t>
  </si>
  <si>
    <t>Molt baixa</t>
  </si>
  <si>
    <t>Baixa</t>
  </si>
  <si>
    <t>Mitjana</t>
  </si>
  <si>
    <t>Òptima</t>
  </si>
  <si>
    <t>Total recaptació orgànica</t>
  </si>
  <si>
    <t>Tram participació envasos lleugers</t>
  </si>
  <si>
    <t>Total recaptació envasos lleugers</t>
  </si>
  <si>
    <t>Tram participació fracció resta</t>
  </si>
  <si>
    <t>Total recaptació fracció resta</t>
  </si>
  <si>
    <t>Participació deixalleria</t>
  </si>
  <si>
    <t>Total recaptació deixalleria</t>
  </si>
  <si>
    <t>Total recaptació part variable domèstica</t>
  </si>
  <si>
    <t>Total recaptació part fixa domèstica</t>
  </si>
  <si>
    <t>120 - 1.100</t>
  </si>
  <si>
    <t>120 - 360</t>
  </si>
  <si>
    <t xml:space="preserve">Envasos </t>
  </si>
  <si>
    <t>Tarifa ús àrea tancada (€/any)</t>
  </si>
  <si>
    <t>Tarifa activitat desconnectada o local buit</t>
  </si>
  <si>
    <t>Envasos</t>
  </si>
  <si>
    <t>Multimaterial</t>
  </si>
  <si>
    <t xml:space="preserve"> Tarifa alta freqüència (€/litre/any)</t>
  </si>
  <si>
    <t>Tarifa baixa freqüència (€/litre/any)</t>
  </si>
  <si>
    <t>Tram participació molt baixa</t>
  </si>
  <si>
    <t>Tram participació baixa</t>
  </si>
  <si>
    <t>Tram participació mitjana</t>
  </si>
  <si>
    <t>Tram participació òptima</t>
  </si>
  <si>
    <t>Fracció orgànica</t>
  </si>
  <si>
    <t>&lt; 6</t>
  </si>
  <si>
    <t>21 – 46</t>
  </si>
  <si>
    <t>Deixalleria</t>
  </si>
  <si>
    <t>&gt;= 1</t>
  </si>
  <si>
    <t xml:space="preserve">PART VARIABLE </t>
  </si>
  <si>
    <t>TRAMS PART VARIABLE DOMÈSTICA</t>
  </si>
  <si>
    <t>PART VARIABLE COMERCIAL</t>
  </si>
  <si>
    <t>PART FIXA COMERCIAL</t>
  </si>
  <si>
    <t>6 - 12</t>
  </si>
  <si>
    <t xml:space="preserve">3 - 5 </t>
  </si>
  <si>
    <t>COSTOS GLOBALS</t>
  </si>
  <si>
    <t>TOTAL COSTOS PART COMARCAL</t>
  </si>
  <si>
    <t>Cost recollida porta a porta (inclou domèstica i comercial)</t>
  </si>
  <si>
    <t>Ampliacions servei porta a porta</t>
  </si>
  <si>
    <t xml:space="preserve">Cost tractament fracció resta </t>
  </si>
  <si>
    <t>Cost tractament fracció orgànica</t>
  </si>
  <si>
    <t xml:space="preserve">Recollida voluminosos </t>
  </si>
  <si>
    <t xml:space="preserve">Recollida fracció vegetal </t>
  </si>
  <si>
    <t xml:space="preserve">Tractament fracció vegetal </t>
  </si>
  <si>
    <t xml:space="preserve">Tractament de voluminosos </t>
  </si>
  <si>
    <t>Servei de deixalleria</t>
  </si>
  <si>
    <t xml:space="preserve">Recollida oli vegetal usat </t>
  </si>
  <si>
    <t>Total costos part específica</t>
  </si>
  <si>
    <t>Serveis extres (inclou bosses compostables)</t>
  </si>
  <si>
    <t>Retorn de l’impost cedit (fracció orgànica)</t>
  </si>
  <si>
    <t xml:space="preserve">Venda de paper/cartró </t>
  </si>
  <si>
    <t>Retorn recollida paper/cartró (Ecoembes)</t>
  </si>
  <si>
    <t>Retorn recollida envasos lleugers (Ecomebes)</t>
  </si>
  <si>
    <t>Retorn recollida vidre (Ecovidrio)</t>
  </si>
  <si>
    <t>Part global</t>
  </si>
  <si>
    <t>Part específica</t>
  </si>
  <si>
    <t>Total costos nets part global</t>
  </si>
  <si>
    <t>Costos part específica</t>
  </si>
  <si>
    <t>TOTAL COST NET</t>
  </si>
  <si>
    <t>€ PART FIXA ÚS AT</t>
  </si>
  <si>
    <t>TOTAL INGRÉS / MUNICIPI</t>
  </si>
  <si>
    <t>Nº habitatges quota reduïda (2%)</t>
  </si>
  <si>
    <t>Despeses gestió i recaptació taxa comarcal</t>
  </si>
  <si>
    <t>DESPESES GESTIÓ I RECAPTACIÓ TAXA COMARCAL</t>
  </si>
  <si>
    <t>RETORN DEL CÀNON</t>
  </si>
  <si>
    <t>RETORN ENVASOS - ECOMEBES</t>
  </si>
  <si>
    <t>RETORN PiC - ECOEMBES</t>
  </si>
  <si>
    <t>RETORN VIDRE - ECOVIDRIO</t>
  </si>
  <si>
    <t>VENDA PiC</t>
  </si>
  <si>
    <t>COST TRACTAMENT FV</t>
  </si>
  <si>
    <t>COST TRACTAMENT VOLUMINOSOS</t>
  </si>
  <si>
    <t>Serveis extres a preus unitaris</t>
  </si>
  <si>
    <t>SERVEI</t>
  </si>
  <si>
    <t>IMPORT MENSUAL</t>
  </si>
  <si>
    <t>UNITATS</t>
  </si>
  <si>
    <t>IMPORT UNITARI 2025</t>
  </si>
  <si>
    <t>AMPLIACIÓ PAP</t>
  </si>
  <si>
    <t>TIPUS</t>
  </si>
  <si>
    <t>MUNICIPI</t>
  </si>
  <si>
    <t>Ampliació habitatges PAP</t>
  </si>
  <si>
    <t>Ampliació habitatges PAP (AF)</t>
  </si>
  <si>
    <t>Ampliació habitatges PAP (BF)</t>
  </si>
  <si>
    <t>AT recollida servei ordinari</t>
  </si>
  <si>
    <t>AT neteja servei ordinari</t>
  </si>
  <si>
    <t>AT (magatzem brigada) recollida servei ordinari</t>
  </si>
  <si>
    <t>AT (magatzem brigada) neteja servei ordinari</t>
  </si>
  <si>
    <t>Recollida PAP Cases de la Bruguera</t>
  </si>
  <si>
    <t>AT recollida PiC contenidor 1100L ruta ordinari</t>
  </si>
  <si>
    <t>Brigada recollida contenidor RSU 1100L ruta ordinari</t>
  </si>
  <si>
    <t>Brigada recollida 2 contenidors RSU 1100L ruta ordinari</t>
  </si>
  <si>
    <t>Brigada recollida 1 contenidor RSU 1100L ruta ordinari</t>
  </si>
  <si>
    <t>AT neteja PiC contenidor 1100L</t>
  </si>
  <si>
    <t>AT neteja E/P/R contenidors 1100L</t>
  </si>
  <si>
    <t>AT recollida E/P/R contenidors 1100L ruta ordinari</t>
  </si>
  <si>
    <t>CAP Recollida RSU bujol 240L extra ruta ordinari</t>
  </si>
  <si>
    <t>AT Sant Medir recollida RSU/V servei ordinari</t>
  </si>
  <si>
    <t>AT Sant Medir E/Org/PiC recollida ordinària (preu tancat)</t>
  </si>
  <si>
    <t>SERVEI MUNICIPAL</t>
  </si>
  <si>
    <t>Recollida deixalleria Org. ruta ordinari</t>
  </si>
  <si>
    <t>Servei de recollida de bosses recollida PAP sector cases del xai</t>
  </si>
  <si>
    <t>Servei de recollida de bosses recollida PAP disseminats AF</t>
  </si>
  <si>
    <t>Servei de recollida de bosses abandonades (2h/setmana)</t>
  </si>
  <si>
    <t>Servei reforç comercial de resta: Llar d'infants, La Pineda i CAP</t>
  </si>
  <si>
    <t>Servei recollida ordinària Jardí de Calders</t>
  </si>
  <si>
    <t>Recollida deixalleria P/V/E/Org./R Salt</t>
  </si>
  <si>
    <t>Recollida Org. Comerç reforç dissabtes</t>
  </si>
  <si>
    <t>Brigada recollida 2 contenidors RSU 1100L fora ruta</t>
  </si>
  <si>
    <t>Brigada recollida contenidor RSU 1100L fora ruta</t>
  </si>
  <si>
    <t>Fira de Primavera recollida</t>
  </si>
  <si>
    <t>Rally Costa Brava recollida</t>
  </si>
  <si>
    <t>COMPRA BUJOLS EQUIPAMENTS</t>
  </si>
  <si>
    <t>IMPORT ANUAL</t>
  </si>
  <si>
    <t>Servei recollida abocaments incontrolats</t>
  </si>
  <si>
    <t>COMPRA BOSSES COMPOSTABLES</t>
  </si>
  <si>
    <t>Es considera que es liquidarà directament als municipis? (Com es fa a les empreses)</t>
  </si>
  <si>
    <t>Es considera que es liquidarà directament als municipis?</t>
  </si>
  <si>
    <t>Servei recollida abocaments incontrolats (poda)</t>
  </si>
  <si>
    <t>DEIXALLERIA MÒBIL (inclou despeses CCG)</t>
  </si>
  <si>
    <t>Habitatges pagats (100%) totalment</t>
  </si>
  <si>
    <t>Habitatges pagats amb quota reduïda (0%)</t>
  </si>
  <si>
    <t>INGRÉS x VOLUM EQUIPAMENTS</t>
  </si>
  <si>
    <t>BALANÇ DOMÈSTIC A PART FIXA (85%)</t>
  </si>
  <si>
    <t>Ingressos part global</t>
  </si>
  <si>
    <t>Costos part global</t>
  </si>
  <si>
    <t>CALCULADA PART FIXA ESPECÍFICA</t>
  </si>
  <si>
    <t>PAP</t>
  </si>
  <si>
    <t>AT</t>
  </si>
  <si>
    <t>QUOTA PART FIXA PAP</t>
  </si>
  <si>
    <t>QUOTA PART FIXA AT</t>
  </si>
  <si>
    <t>Habitatges amb descompte quota reduïda PAP (2%)</t>
  </si>
  <si>
    <t>Habitatges amb descompte quota reduïda AT (2%)</t>
  </si>
  <si>
    <t>Recaptació amb reducció quota</t>
  </si>
  <si>
    <t>HABITATGES PAP (AF i BF)</t>
  </si>
  <si>
    <r>
      <t xml:space="preserve">Nº aportacions anuals </t>
    </r>
    <r>
      <rPr>
        <b/>
        <u/>
        <sz val="11"/>
        <rFont val="Arial"/>
        <family val="2"/>
      </rPr>
      <t>alta freqüència</t>
    </r>
  </si>
  <si>
    <r>
      <t xml:space="preserve">Nº aportacions anuals </t>
    </r>
    <r>
      <rPr>
        <b/>
        <u/>
        <sz val="11"/>
        <rFont val="Arial"/>
        <family val="2"/>
      </rPr>
      <t>baixa freqüència</t>
    </r>
  </si>
  <si>
    <t>TOTAL RECAPTACIÓ PAP + AT</t>
  </si>
  <si>
    <t>Total recaptat PAP (amb reducció)</t>
  </si>
  <si>
    <t>Total recaptat AT (amb reducció)</t>
  </si>
  <si>
    <t>SETEMBRE 2024</t>
  </si>
  <si>
    <t>GP + Equipaments</t>
  </si>
  <si>
    <t xml:space="preserve"> Només ingrés GP</t>
  </si>
  <si>
    <t>Despeses gestió Consell Comarcal</t>
  </si>
  <si>
    <t>ACT.DESCONNECTADES / LOCALS BUITS INFORME</t>
  </si>
  <si>
    <t>€ PART FIXA (desconnectades, locals buits)</t>
  </si>
  <si>
    <t>€ PART FIXA (ús àrea tancada)</t>
  </si>
  <si>
    <t>INGRÉS ACT. DESCONNECTADES I LOCALS BUITS</t>
  </si>
  <si>
    <t>Tarifa €/servei de recollida</t>
  </si>
  <si>
    <t>Volum bujol/contenidor (litres)</t>
  </si>
  <si>
    <t>RECAPTACIÓ PART VARIABLE (ANUAL)</t>
  </si>
  <si>
    <t>CAP SARRIÀ DE TER</t>
  </si>
  <si>
    <t>RESIDÈNCIA SARRIÀ DE TER</t>
  </si>
  <si>
    <t>RESIDÈNCIA SANTA ANNA DE BESCANÓ</t>
  </si>
  <si>
    <t>RECAPTACIÓ COMERÇOS FIXA</t>
  </si>
  <si>
    <t>RECAPTACIÓ COMERÇOS VARIABLE</t>
  </si>
  <si>
    <t>DEIXALLERIA MÒBIL</t>
  </si>
  <si>
    <t>TOTAL REDUCCIONS</t>
  </si>
  <si>
    <t>INGRÉS x VOLUM TOTAL</t>
  </si>
  <si>
    <t>Servei de deixalleria mòbil</t>
  </si>
  <si>
    <t>Nº banyeres</t>
  </si>
  <si>
    <t>NO ES PRESTA</t>
  </si>
  <si>
    <t>INFORMEN QUE NO HO PAGARÀ L'AJUNTAMENT</t>
  </si>
  <si>
    <t>PENDENT QUE ENS ENVIIN CONTACTE</t>
  </si>
  <si>
    <t>&gt; 70</t>
  </si>
  <si>
    <t>10 - 70</t>
  </si>
  <si>
    <t>10 - 46</t>
  </si>
  <si>
    <t>Prorrateig part variable per municipi</t>
  </si>
  <si>
    <t>NOVAVENDA BESCANÓ (reforç quinzenal Resta)</t>
  </si>
  <si>
    <t>AT recollida contenidor ENVASOS1100L ruta ordinari</t>
  </si>
  <si>
    <t>COST TRACTAMENT FORM 2026</t>
  </si>
  <si>
    <t>PREVISIÓ COST TRACTAMENT RESTA 2026</t>
  </si>
  <si>
    <t>ESTIMACIÓ DESPESES 2026</t>
  </si>
  <si>
    <t>SANT ANDREU SALOU</t>
  </si>
  <si>
    <t>PREVISIÓ COST TRACTAMENT REBUIG 2026</t>
  </si>
  <si>
    <t>DEL MUNICIPI</t>
  </si>
  <si>
    <t>AMPLIACIONS SERVEI PAP 2 (Nº habitatges)</t>
  </si>
  <si>
    <t>COST RECOLLIDA FV (big bag)</t>
  </si>
  <si>
    <t>COST RECOLLIDA FV (banyeres)</t>
  </si>
  <si>
    <t>Utilitzem import gastat al període gener-juny 2025 multiplicat per 2 més un 10%</t>
  </si>
  <si>
    <t>Utilitzem import gastat al període gener-juny 2025 multiplicat per 2</t>
  </si>
  <si>
    <t>IMPORT UNITARI 2026</t>
  </si>
  <si>
    <t>NO S'IMPUTA A TAXA I ES LIQUIDA COM A NETEJA VIÀRIA</t>
  </si>
  <si>
    <t>ANY 2025 EREN 300.</t>
  </si>
  <si>
    <t>ESTIMACIÓ PART FIXA DEL MUNICIPI</t>
  </si>
  <si>
    <t>Contenidors vidre extres AT Quart</t>
  </si>
  <si>
    <t>ANY 2025 EREN 6000</t>
  </si>
  <si>
    <t>ESTIMACIÓ SEGONS DESPESA A JUNY 2025</t>
  </si>
  <si>
    <t>Despeses XALOC</t>
  </si>
  <si>
    <t>BALANÇ  FINAL  2026</t>
  </si>
  <si>
    <t>Sant Andreu Salou</t>
  </si>
  <si>
    <t>SETEMBRE 2025</t>
  </si>
  <si>
    <t>PART FIXA TOTAL PAP 2025</t>
  </si>
  <si>
    <t>PART FIXA TOTAL AT 2025</t>
  </si>
  <si>
    <t>DIFERÈNCIA</t>
  </si>
  <si>
    <t>INGRÉS EQUIPAMENTS</t>
  </si>
  <si>
    <t>dif. 24 vs 25</t>
  </si>
  <si>
    <t>PART FIXA TOTAL PAP 2026</t>
  </si>
  <si>
    <t>PART FIXA TOTAL AT 2026</t>
  </si>
  <si>
    <t>Recollides extres comercials (juny, juliol i agost)</t>
  </si>
  <si>
    <t>Compra bosses i fundes compostables</t>
  </si>
  <si>
    <t>MILLORES TECONOLOGIA</t>
  </si>
  <si>
    <t>ESTIMACIÓ COSTOS GLOBALS 2026</t>
  </si>
  <si>
    <t>Millores tecnològiques</t>
  </si>
  <si>
    <t>ESTIMACIÓ COSTOS ESPECÍFICS 2026</t>
  </si>
  <si>
    <t>ESTIMACIÓ INGRESSOS 2026</t>
  </si>
  <si>
    <t>COST NET DEL SERVEI 2026</t>
  </si>
  <si>
    <t>COST SERVEI GLOBAL</t>
  </si>
  <si>
    <t>COST SERVEI ESPECÍFIC</t>
  </si>
  <si>
    <t>INGRÉS x VOLUM (gp)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</si>
</sst>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"/>
    <numFmt numFmtId="166" formatCode="#,##0.0"/>
    <numFmt numFmtId="167" formatCode="_-* #,##0.00\ [$€-C0A]_-;\-* #,##0.00\ [$€-C0A]_-;_-* &quot;-&quot;??\ [$€-C0A]_-;_-@_-"/>
    <numFmt numFmtId="168" formatCode="#,##0\ &quot;€&quot;"/>
    <numFmt numFmtId="169" formatCode="0.0%"/>
    <numFmt numFmtId="170" formatCode="_-* #,##0\ [$€-C0A]_-;\-* #,##0\ [$€-C0A]_-;_-* &quot;-&quot;??\ [$€-C0A]_-;_-@_-"/>
    <numFmt numFmtId="171" formatCode="0.0000"/>
    <numFmt numFmtId="172" formatCode="#,##0.00\ [$€-C0A];\-#,##0.00\ [$€-C0A]"/>
    <numFmt numFmtId="173" formatCode="#,##0.000"/>
    <numFmt numFmtId="174" formatCode="_-* #,##0.00\ [$€-403]_-;\-* #,##0.00\ [$€-403]_-;_-* &quot;-&quot;??\ [$€-403]_-;_-@_-"/>
  </numFmts>
  <fonts count="11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DIN Next LT Pro"/>
      <family val="2"/>
    </font>
    <font>
      <sz val="10"/>
      <name val="DIN Next LT Pro Bold"/>
      <family val="2"/>
    </font>
    <font>
      <sz val="10"/>
      <name val="Arial"/>
      <family val="2"/>
    </font>
    <font>
      <sz val="10"/>
      <color theme="1" tint="0.249977111117893"/>
      <name val="DIN Next LT Pro Bold"/>
      <family val="2"/>
    </font>
    <font>
      <sz val="8"/>
      <color theme="1" tint="0.249977111117893"/>
      <name val="DIN Next LT Pro Bold"/>
      <family val="2"/>
    </font>
    <font>
      <sz val="8"/>
      <color theme="1" tint="0.249977111117893"/>
      <name val="DIN Next LT Pro"/>
      <family val="2"/>
    </font>
    <font>
      <sz val="10"/>
      <color rgb="FF404040"/>
      <name val="DIN Next LT Pro Bold"/>
      <family val="2"/>
    </font>
    <font>
      <sz val="9"/>
      <color rgb="FF000000"/>
      <name val="DIN Next LT Pro"/>
      <family val="2"/>
    </font>
    <font>
      <sz val="11"/>
      <color rgb="FF000000"/>
      <name val="Calibri"/>
      <family val="2"/>
    </font>
    <font>
      <sz val="8"/>
      <color rgb="FF404040"/>
      <name val="DIN Next LT Pro Bold"/>
      <family val="2"/>
    </font>
    <font>
      <sz val="11"/>
      <color indexed="8"/>
      <name val="Calibri"/>
      <family val="2"/>
      <scheme val="minor"/>
    </font>
    <font>
      <sz val="8"/>
      <color indexed="8"/>
      <name val="Tahoma"/>
      <family val="2"/>
    </font>
    <font>
      <sz val="10"/>
      <color theme="1" tint="0.249977111117893"/>
      <name val="DIN Next LT Pro"/>
      <family val="2"/>
    </font>
    <font>
      <sz val="9"/>
      <color theme="1" tint="0.249977111117893"/>
      <name val="DIN Next LT Pro"/>
      <family val="2"/>
    </font>
    <font>
      <sz val="9"/>
      <color theme="1" tint="0.249977111117893"/>
      <name val="DIN Next LT Pro Bold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9"/>
      <color rgb="FF000000"/>
      <name val="Calibri"/>
      <family val="2"/>
    </font>
    <font>
      <sz val="10"/>
      <color rgb="FFFF0000"/>
      <name val="DIN Next LT Pro"/>
      <family val="2"/>
    </font>
    <font>
      <sz val="8"/>
      <color rgb="FFFF0000"/>
      <name val="DIN Next LT Pro"/>
      <family val="2"/>
    </font>
    <font>
      <sz val="9"/>
      <color rgb="FFFF0000"/>
      <name val="DIN Next LT Pro"/>
      <family val="2"/>
    </font>
    <font>
      <sz val="10"/>
      <color rgb="FFFF0000"/>
      <name val="Arial"/>
      <family val="2"/>
    </font>
    <font>
      <b/>
      <sz val="10"/>
      <name val="DIN Next LT Pro"/>
      <family val="2"/>
    </font>
    <font>
      <b/>
      <sz val="10"/>
      <name val="Arial"/>
      <family val="2"/>
    </font>
    <font>
      <sz val="9"/>
      <color theme="1"/>
      <name val="DIN Next LT Pro"/>
      <family val="2"/>
    </font>
    <font>
      <sz val="12"/>
      <color theme="1"/>
      <name val="DIN Next LT Pro Bold"/>
      <family val="2"/>
    </font>
    <font>
      <sz val="8"/>
      <color theme="1"/>
      <name val="DIN Next LT Pro Bold"/>
      <family val="2"/>
    </font>
    <font>
      <sz val="9"/>
      <color theme="1"/>
      <name val="DIN Next LT Pro Bold"/>
      <family val="2"/>
    </font>
    <font>
      <sz val="8"/>
      <color theme="1"/>
      <name val="DIN Next LT Pro"/>
      <family val="2"/>
    </font>
    <font>
      <sz val="10"/>
      <name val="Times New Roman"/>
      <family val="1"/>
    </font>
    <font>
      <sz val="9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b/>
      <sz val="10"/>
      <name val="DIN Next LT Pro Bold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9"/>
      <name val="DIN Next LT Pro"/>
    </font>
    <font>
      <b/>
      <sz val="9"/>
      <name val="DIN Next LT Pro"/>
      <family val="2"/>
    </font>
    <font>
      <b/>
      <sz val="28"/>
      <name val="Arial"/>
      <family val="2"/>
    </font>
    <font>
      <sz val="10"/>
      <name val="DIN Next LT Pro"/>
    </font>
    <font>
      <b/>
      <u/>
      <sz val="9"/>
      <name val="Arial"/>
      <family val="2"/>
    </font>
    <font>
      <sz val="9"/>
      <name val="DIN Next LT Pro"/>
      <family val="2"/>
    </font>
    <font>
      <b/>
      <sz val="10"/>
      <name val="DIN Next LT Pro"/>
    </font>
    <font>
      <sz val="9"/>
      <name val="DIN Next LT Pro"/>
    </font>
    <font>
      <b/>
      <sz val="18"/>
      <color rgb="FF404040"/>
      <name val="DIN Next LT Pro Bold"/>
    </font>
    <font>
      <b/>
      <sz val="7"/>
      <color theme="1"/>
      <name val="DIN Next LT Pro"/>
      <family val="2"/>
    </font>
    <font>
      <b/>
      <u/>
      <sz val="10"/>
      <name val="Arial"/>
      <family val="2"/>
    </font>
    <font>
      <b/>
      <sz val="9"/>
      <color theme="1"/>
      <name val="DIN Next LT Pro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sz val="8"/>
      <name val="DIN Next LT Pro"/>
      <family val="2"/>
    </font>
    <font>
      <b/>
      <sz val="8"/>
      <name val="DIN Next LT Pro Bold"/>
      <family val="2"/>
    </font>
    <font>
      <b/>
      <u/>
      <sz val="11"/>
      <name val="Arial"/>
      <family val="2"/>
    </font>
    <font>
      <b/>
      <sz val="8"/>
      <color rgb="FFFF0000"/>
      <name val="DIN Next LT Pro"/>
    </font>
    <font>
      <sz val="11"/>
      <color rgb="FFFF0000"/>
      <name val="Calibri"/>
      <family val="2"/>
    </font>
    <font>
      <sz val="10"/>
      <color rgb="FFFF0000"/>
      <name val="DIN Next LT Pro Bold"/>
      <family val="2"/>
    </font>
    <font>
      <sz val="8"/>
      <color rgb="FFFF0000"/>
      <name val="DIN Next LT Pro Bold"/>
      <family val="2"/>
    </font>
    <font>
      <b/>
      <sz val="28"/>
      <color rgb="FFFF0000"/>
      <name val="Arial"/>
      <family val="2"/>
    </font>
    <font>
      <b/>
      <sz val="10"/>
      <color rgb="FFFF0000"/>
      <name val="DIN Next LT Pro"/>
      <family val="2"/>
    </font>
    <font>
      <b/>
      <sz val="9"/>
      <color rgb="FFFF0000"/>
      <name val="DIN Next LT Pro"/>
      <family val="2"/>
    </font>
    <font>
      <sz val="8"/>
      <color rgb="FFFF0000"/>
      <name val="Tahoma"/>
      <family val="2"/>
    </font>
    <font>
      <sz val="10"/>
      <color rgb="FFFF0000"/>
      <name val="Times New Roman"/>
      <family val="1"/>
    </font>
    <font>
      <sz val="9"/>
      <color rgb="FFFF0000"/>
      <name val="Arial"/>
      <family val="2"/>
    </font>
    <font>
      <sz val="11"/>
      <color rgb="FFFF0000"/>
      <name val="Arial"/>
      <family val="2"/>
    </font>
    <font>
      <sz val="9"/>
      <color rgb="FFFF0000"/>
      <name val="Calibri"/>
      <family val="2"/>
    </font>
    <font>
      <sz val="9"/>
      <name val="DIN Next LT Pro Bold"/>
      <family val="2"/>
    </font>
    <font>
      <sz val="8"/>
      <name val="DIN Next LT Pro Bold"/>
      <family val="2"/>
    </font>
    <font>
      <b/>
      <sz val="7"/>
      <name val="DIN Next LT Pro"/>
      <family val="2"/>
    </font>
    <font>
      <sz val="9"/>
      <color theme="0"/>
      <name val="DIN Next LT Pro"/>
      <family val="2"/>
    </font>
    <font>
      <sz val="11"/>
      <name val="Calibri"/>
      <family val="2"/>
    </font>
    <font>
      <b/>
      <sz val="8"/>
      <name val="DIN Next LT Pro"/>
    </font>
    <font>
      <b/>
      <sz val="8"/>
      <color theme="1" tint="0.249977111117893"/>
      <name val="DIN Next LT Pro"/>
    </font>
    <font>
      <sz val="8"/>
      <color theme="1" tint="0.249977111117893"/>
      <name val="DIN Next LT Pro"/>
    </font>
    <font>
      <b/>
      <sz val="14"/>
      <name val="DIN Next LT Pro Bold"/>
    </font>
    <font>
      <b/>
      <sz val="16"/>
      <name val="DIN Next LT Pro Bold"/>
    </font>
    <font>
      <b/>
      <sz val="11"/>
      <color theme="0"/>
      <name val="Arial"/>
      <family val="2"/>
    </font>
    <font>
      <b/>
      <sz val="9"/>
      <color theme="0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6" tint="-0.249977111117893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6F4E2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rgb="FF6633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2DDDC"/>
        <bgColor rgb="FF000000"/>
      </patternFill>
    </fill>
    <fill>
      <patternFill patternType="solid">
        <fgColor rgb="FFF6F4E2"/>
        <bgColor rgb="FF000000"/>
      </patternFill>
    </fill>
    <fill>
      <patternFill patternType="solid">
        <fgColor rgb="FFFAC090"/>
        <bgColor rgb="FF000000"/>
      </patternFill>
    </fill>
    <fill>
      <patternFill patternType="solid">
        <fgColor theme="9" tint="-0.249977111117893"/>
        <bgColor rgb="FF000000"/>
      </patternFill>
    </fill>
  </fills>
  <borders count="8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medium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/>
      <right style="medium">
        <color indexed="64"/>
      </right>
      <top/>
      <bottom style="medium">
        <color rgb="FFA6A6A6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A6A6A6"/>
      </right>
      <top/>
      <bottom style="medium">
        <color indexed="64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medium">
        <color rgb="FFA6A6A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87">
    <xf numFmtId="0" fontId="0" fillId="0" borderId="0"/>
    <xf numFmtId="9" fontId="12" fillId="0" borderId="0" applyFont="0" applyFill="0" applyBorder="0" applyAlignment="0" applyProtection="0"/>
    <xf numFmtId="0" fontId="20" fillId="0" borderId="0"/>
    <xf numFmtId="0" fontId="12" fillId="0" borderId="0"/>
    <xf numFmtId="0" fontId="9" fillId="0" borderId="0"/>
    <xf numFmtId="0" fontId="8" fillId="0" borderId="0"/>
    <xf numFmtId="0" fontId="8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5" fillId="0" borderId="0"/>
    <xf numFmtId="0" fontId="6" fillId="0" borderId="0"/>
    <xf numFmtId="0" fontId="47" fillId="0" borderId="0" applyNumberFormat="0" applyFill="0" applyBorder="0" applyAlignment="0" applyProtection="0"/>
    <xf numFmtId="0" fontId="48" fillId="0" borderId="27" applyNumberFormat="0" applyFill="0" applyAlignment="0" applyProtection="0"/>
    <xf numFmtId="0" fontId="49" fillId="0" borderId="28" applyNumberFormat="0" applyFill="0" applyAlignment="0" applyProtection="0"/>
    <xf numFmtId="0" fontId="50" fillId="0" borderId="29" applyNumberFormat="0" applyFill="0" applyAlignment="0" applyProtection="0"/>
    <xf numFmtId="0" fontId="50" fillId="0" borderId="0" applyNumberFormat="0" applyFill="0" applyBorder="0" applyAlignment="0" applyProtection="0"/>
    <xf numFmtId="0" fontId="51" fillId="16" borderId="0" applyNumberFormat="0" applyBorder="0" applyAlignment="0" applyProtection="0"/>
    <xf numFmtId="0" fontId="52" fillId="17" borderId="0" applyNumberFormat="0" applyBorder="0" applyAlignment="0" applyProtection="0"/>
    <xf numFmtId="0" fontId="53" fillId="18" borderId="0" applyNumberFormat="0" applyBorder="0" applyAlignment="0" applyProtection="0"/>
    <xf numFmtId="0" fontId="54" fillId="19" borderId="30" applyNumberFormat="0" applyAlignment="0" applyProtection="0"/>
    <xf numFmtId="0" fontId="55" fillId="20" borderId="31" applyNumberFormat="0" applyAlignment="0" applyProtection="0"/>
    <xf numFmtId="0" fontId="56" fillId="20" borderId="30" applyNumberFormat="0" applyAlignment="0" applyProtection="0"/>
    <xf numFmtId="0" fontId="57" fillId="0" borderId="32" applyNumberFormat="0" applyFill="0" applyAlignment="0" applyProtection="0"/>
    <xf numFmtId="0" fontId="58" fillId="21" borderId="33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35" applyNumberFormat="0" applyFill="0" applyAlignment="0" applyProtection="0"/>
    <xf numFmtId="0" fontId="6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6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6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62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62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62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0" borderId="0"/>
    <xf numFmtId="0" fontId="5" fillId="22" borderId="34" applyNumberFormat="0" applyFont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22" borderId="34" applyNumberFormat="0" applyFont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10" fillId="0" borderId="0"/>
    <xf numFmtId="44" fontId="110" fillId="0" borderId="0" applyFont="0" applyFill="0" applyBorder="0" applyAlignment="0" applyProtection="0"/>
    <xf numFmtId="0" fontId="110" fillId="0" borderId="0"/>
  </cellStyleXfs>
  <cellXfs count="685">
    <xf numFmtId="0" fontId="0" fillId="0" borderId="0" xfId="0"/>
    <xf numFmtId="0" fontId="0" fillId="2" borderId="0" xfId="0" applyFill="1"/>
    <xf numFmtId="3" fontId="10" fillId="3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3" fillId="0" borderId="0" xfId="0" applyFont="1"/>
    <xf numFmtId="0" fontId="10" fillId="2" borderId="0" xfId="0" applyFont="1" applyFill="1"/>
    <xf numFmtId="167" fontId="15" fillId="3" borderId="2" xfId="0" applyNumberFormat="1" applyFont="1" applyFill="1" applyBorder="1"/>
    <xf numFmtId="0" fontId="16" fillId="0" borderId="5" xfId="0" applyFont="1" applyBorder="1" applyAlignment="1">
      <alignment horizontal="right" vertical="center"/>
    </xf>
    <xf numFmtId="0" fontId="13" fillId="6" borderId="3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/>
    </xf>
    <xf numFmtId="0" fontId="17" fillId="7" borderId="4" xfId="0" applyFont="1" applyFill="1" applyBorder="1" applyAlignment="1">
      <alignment horizontal="center" vertical="center"/>
    </xf>
    <xf numFmtId="168" fontId="13" fillId="8" borderId="4" xfId="0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left"/>
    </xf>
    <xf numFmtId="0" fontId="18" fillId="0" borderId="0" xfId="0" applyFont="1"/>
    <xf numFmtId="0" fontId="19" fillId="10" borderId="4" xfId="0" applyFont="1" applyFill="1" applyBorder="1" applyAlignment="1">
      <alignment horizontal="center"/>
    </xf>
    <xf numFmtId="0" fontId="19" fillId="10" borderId="6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left"/>
    </xf>
    <xf numFmtId="166" fontId="10" fillId="7" borderId="4" xfId="0" applyNumberFormat="1" applyFont="1" applyFill="1" applyBorder="1" applyAlignment="1">
      <alignment horizontal="center"/>
    </xf>
    <xf numFmtId="165" fontId="11" fillId="9" borderId="4" xfId="0" applyNumberFormat="1" applyFont="1" applyFill="1" applyBorder="1" applyAlignment="1">
      <alignment horizontal="center"/>
    </xf>
    <xf numFmtId="167" fontId="0" fillId="0" borderId="0" xfId="0" applyNumberFormat="1"/>
    <xf numFmtId="167" fontId="22" fillId="3" borderId="2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center"/>
    </xf>
    <xf numFmtId="3" fontId="11" fillId="2" borderId="1" xfId="0" applyNumberFormat="1" applyFont="1" applyFill="1" applyBorder="1" applyAlignment="1">
      <alignment horizontal="center"/>
    </xf>
    <xf numFmtId="0" fontId="27" fillId="2" borderId="0" xfId="0" applyFont="1" applyFill="1" applyAlignment="1">
      <alignment horizontal="center" vertical="center"/>
    </xf>
    <xf numFmtId="49" fontId="26" fillId="2" borderId="0" xfId="2" applyNumberFormat="1" applyFont="1" applyFill="1"/>
    <xf numFmtId="167" fontId="28" fillId="3" borderId="2" xfId="0" applyNumberFormat="1" applyFont="1" applyFill="1" applyBorder="1" applyAlignment="1">
      <alignment horizontal="right"/>
    </xf>
    <xf numFmtId="164" fontId="0" fillId="0" borderId="0" xfId="0" applyNumberFormat="1"/>
    <xf numFmtId="170" fontId="10" fillId="7" borderId="8" xfId="0" applyNumberFormat="1" applyFont="1" applyFill="1" applyBorder="1"/>
    <xf numFmtId="0" fontId="24" fillId="6" borderId="1" xfId="0" applyFont="1" applyFill="1" applyBorder="1" applyAlignment="1">
      <alignment horizontal="center"/>
    </xf>
    <xf numFmtId="166" fontId="28" fillId="7" borderId="4" xfId="0" applyNumberFormat="1" applyFont="1" applyFill="1" applyBorder="1" applyAlignment="1">
      <alignment horizontal="center"/>
    </xf>
    <xf numFmtId="15" fontId="0" fillId="0" borderId="0" xfId="0" applyNumberFormat="1"/>
    <xf numFmtId="169" fontId="10" fillId="7" borderId="8" xfId="1" applyNumberFormat="1" applyFont="1" applyFill="1" applyBorder="1" applyAlignment="1">
      <alignment horizontal="center"/>
    </xf>
    <xf numFmtId="169" fontId="11" fillId="8" borderId="8" xfId="1" applyNumberFormat="1" applyFont="1" applyFill="1" applyBorder="1" applyAlignment="1">
      <alignment horizontal="center"/>
    </xf>
    <xf numFmtId="9" fontId="10" fillId="7" borderId="7" xfId="1" applyFont="1" applyFill="1" applyBorder="1" applyAlignment="1">
      <alignment horizontal="center"/>
    </xf>
    <xf numFmtId="0" fontId="10" fillId="8" borderId="0" xfId="0" applyFont="1" applyFill="1" applyAlignment="1">
      <alignment horizontal="left"/>
    </xf>
    <xf numFmtId="0" fontId="19" fillId="10" borderId="12" xfId="0" applyFont="1" applyFill="1" applyBorder="1" applyAlignment="1">
      <alignment horizontal="center"/>
    </xf>
    <xf numFmtId="4" fontId="10" fillId="7" borderId="4" xfId="0" applyNumberFormat="1" applyFont="1" applyFill="1" applyBorder="1" applyAlignment="1">
      <alignment horizontal="center"/>
    </xf>
    <xf numFmtId="3" fontId="10" fillId="7" borderId="4" xfId="0" applyNumberFormat="1" applyFont="1" applyFill="1" applyBorder="1" applyAlignment="1">
      <alignment horizontal="center"/>
    </xf>
    <xf numFmtId="2" fontId="11" fillId="9" borderId="4" xfId="0" applyNumberFormat="1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 wrapText="1"/>
    </xf>
    <xf numFmtId="0" fontId="31" fillId="2" borderId="0" xfId="0" applyFont="1" applyFill="1"/>
    <xf numFmtId="167" fontId="0" fillId="2" borderId="0" xfId="0" applyNumberFormat="1" applyFill="1"/>
    <xf numFmtId="171" fontId="0" fillId="2" borderId="0" xfId="0" applyNumberFormat="1" applyFill="1"/>
    <xf numFmtId="6" fontId="0" fillId="0" borderId="0" xfId="0" applyNumberFormat="1"/>
    <xf numFmtId="0" fontId="33" fillId="0" borderId="0" xfId="0" applyFont="1"/>
    <xf numFmtId="0" fontId="34" fillId="0" borderId="0" xfId="0" applyFont="1"/>
    <xf numFmtId="0" fontId="35" fillId="0" borderId="0" xfId="0" applyFont="1" applyAlignment="1">
      <alignment horizontal="left"/>
    </xf>
    <xf numFmtId="0" fontId="34" fillId="3" borderId="0" xfId="0" applyFont="1" applyFill="1"/>
    <xf numFmtId="0" fontId="34" fillId="3" borderId="0" xfId="0" applyFont="1" applyFill="1" applyAlignment="1">
      <alignment horizontal="right"/>
    </xf>
    <xf numFmtId="49" fontId="34" fillId="3" borderId="0" xfId="0" applyNumberFormat="1" applyFont="1" applyFill="1" applyAlignment="1">
      <alignment horizontal="right"/>
    </xf>
    <xf numFmtId="0" fontId="34" fillId="0" borderId="0" xfId="0" applyFont="1" applyAlignment="1">
      <alignment horizontal="right"/>
    </xf>
    <xf numFmtId="6" fontId="34" fillId="0" borderId="0" xfId="0" applyNumberFormat="1" applyFont="1" applyAlignment="1">
      <alignment horizontal="right"/>
    </xf>
    <xf numFmtId="6" fontId="34" fillId="2" borderId="0" xfId="0" applyNumberFormat="1" applyFont="1" applyFill="1" applyAlignment="1">
      <alignment horizontal="right"/>
    </xf>
    <xf numFmtId="6" fontId="34" fillId="3" borderId="0" xfId="0" applyNumberFormat="1" applyFont="1" applyFill="1"/>
    <xf numFmtId="168" fontId="38" fillId="0" borderId="15" xfId="0" applyNumberFormat="1" applyFont="1" applyBorder="1"/>
    <xf numFmtId="44" fontId="34" fillId="0" borderId="0" xfId="0" applyNumberFormat="1" applyFont="1" applyAlignment="1">
      <alignment horizontal="right"/>
    </xf>
    <xf numFmtId="44" fontId="34" fillId="0" borderId="0" xfId="0" applyNumberFormat="1" applyFont="1"/>
    <xf numFmtId="3" fontId="0" fillId="0" borderId="0" xfId="0" applyNumberFormat="1"/>
    <xf numFmtId="172" fontId="0" fillId="0" borderId="0" xfId="0" applyNumberFormat="1"/>
    <xf numFmtId="166" fontId="0" fillId="0" borderId="0" xfId="0" applyNumberFormat="1"/>
    <xf numFmtId="10" fontId="0" fillId="0" borderId="0" xfId="0" applyNumberFormat="1"/>
    <xf numFmtId="0" fontId="19" fillId="10" borderId="8" xfId="0" applyFont="1" applyFill="1" applyBorder="1" applyAlignment="1">
      <alignment horizontal="center"/>
    </xf>
    <xf numFmtId="167" fontId="15" fillId="2" borderId="0" xfId="0" applyNumberFormat="1" applyFont="1" applyFill="1"/>
    <xf numFmtId="167" fontId="29" fillId="2" borderId="0" xfId="0" applyNumberFormat="1" applyFont="1" applyFill="1"/>
    <xf numFmtId="9" fontId="22" fillId="3" borderId="2" xfId="1" applyFont="1" applyFill="1" applyBorder="1" applyAlignment="1">
      <alignment horizontal="right"/>
    </xf>
    <xf numFmtId="167" fontId="15" fillId="2" borderId="17" xfId="0" applyNumberFormat="1" applyFont="1" applyFill="1" applyBorder="1"/>
    <xf numFmtId="3" fontId="21" fillId="2" borderId="0" xfId="2" applyNumberFormat="1" applyFont="1" applyFill="1" applyAlignment="1">
      <alignment horizontal="right" vertical="center" wrapText="1"/>
    </xf>
    <xf numFmtId="0" fontId="39" fillId="0" borderId="0" xfId="0" applyFont="1"/>
    <xf numFmtId="0" fontId="40" fillId="14" borderId="0" xfId="0" applyFont="1" applyFill="1" applyAlignment="1">
      <alignment horizontal="center" vertical="center"/>
    </xf>
    <xf numFmtId="0" fontId="41" fillId="15" borderId="0" xfId="0" applyFont="1" applyFill="1" applyAlignment="1">
      <alignment horizontal="center" vertical="center" wrapText="1"/>
    </xf>
    <xf numFmtId="164" fontId="44" fillId="0" borderId="0" xfId="0" applyNumberFormat="1" applyFont="1"/>
    <xf numFmtId="0" fontId="44" fillId="0" borderId="0" xfId="0" applyFont="1"/>
    <xf numFmtId="0" fontId="12" fillId="0" borderId="0" xfId="0" applyFont="1"/>
    <xf numFmtId="0" fontId="18" fillId="4" borderId="0" xfId="0" applyFont="1" applyFill="1"/>
    <xf numFmtId="0" fontId="19" fillId="10" borderId="25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left"/>
    </xf>
    <xf numFmtId="0" fontId="10" fillId="8" borderId="4" xfId="0" applyFont="1" applyFill="1" applyBorder="1" applyAlignment="1">
      <alignment horizontal="right"/>
    </xf>
    <xf numFmtId="0" fontId="10" fillId="7" borderId="26" xfId="0" applyFont="1" applyFill="1" applyBorder="1" applyAlignment="1">
      <alignment horizontal="left"/>
    </xf>
    <xf numFmtId="167" fontId="15" fillId="2" borderId="2" xfId="0" applyNumberFormat="1" applyFont="1" applyFill="1" applyBorder="1"/>
    <xf numFmtId="165" fontId="10" fillId="7" borderId="4" xfId="0" applyNumberFormat="1" applyFont="1" applyFill="1" applyBorder="1" applyAlignment="1">
      <alignment horizontal="center"/>
    </xf>
    <xf numFmtId="165" fontId="28" fillId="7" borderId="4" xfId="0" applyNumberFormat="1" applyFont="1" applyFill="1" applyBorder="1" applyAlignment="1">
      <alignment horizontal="center"/>
    </xf>
    <xf numFmtId="166" fontId="11" fillId="9" borderId="4" xfId="0" applyNumberFormat="1" applyFont="1" applyFill="1" applyBorder="1" applyAlignment="1">
      <alignment horizontal="center"/>
    </xf>
    <xf numFmtId="0" fontId="10" fillId="47" borderId="26" xfId="0" applyFont="1" applyFill="1" applyBorder="1" applyAlignment="1">
      <alignment horizontal="left"/>
    </xf>
    <xf numFmtId="0" fontId="66" fillId="47" borderId="26" xfId="0" applyFont="1" applyFill="1" applyBorder="1" applyAlignment="1">
      <alignment horizontal="left"/>
    </xf>
    <xf numFmtId="0" fontId="66" fillId="53" borderId="5" xfId="0" applyFont="1" applyFill="1" applyBorder="1" applyAlignment="1">
      <alignment horizontal="right" vertical="center"/>
    </xf>
    <xf numFmtId="0" fontId="68" fillId="0" borderId="0" xfId="0" applyFont="1" applyFill="1" applyBorder="1" applyAlignment="1">
      <alignment horizontal="center" vertical="center" readingOrder="2"/>
    </xf>
    <xf numFmtId="167" fontId="72" fillId="0" borderId="0" xfId="0" applyNumberFormat="1" applyFont="1" applyFill="1"/>
    <xf numFmtId="0" fontId="68" fillId="51" borderId="11" xfId="0" applyFont="1" applyFill="1" applyBorder="1" applyAlignment="1">
      <alignment horizontal="center" vertical="center" readingOrder="2"/>
    </xf>
    <xf numFmtId="0" fontId="32" fillId="0" borderId="0" xfId="0" applyFont="1" applyFill="1" applyBorder="1" applyAlignment="1"/>
    <xf numFmtId="0" fontId="32" fillId="49" borderId="36" xfId="0" applyFont="1" applyFill="1" applyBorder="1" applyAlignment="1">
      <alignment horizontal="left"/>
    </xf>
    <xf numFmtId="0" fontId="32" fillId="5" borderId="0" xfId="0" applyFont="1" applyFill="1" applyBorder="1" applyAlignment="1"/>
    <xf numFmtId="0" fontId="32" fillId="5" borderId="39" xfId="0" applyFont="1" applyFill="1" applyBorder="1" applyAlignment="1"/>
    <xf numFmtId="0" fontId="32" fillId="5" borderId="16" xfId="0" applyFont="1" applyFill="1" applyBorder="1" applyAlignment="1"/>
    <xf numFmtId="167" fontId="72" fillId="5" borderId="16" xfId="0" applyNumberFormat="1" applyFont="1" applyFill="1" applyBorder="1"/>
    <xf numFmtId="167" fontId="72" fillId="5" borderId="37" xfId="0" applyNumberFormat="1" applyFont="1" applyFill="1" applyBorder="1"/>
    <xf numFmtId="0" fontId="74" fillId="5" borderId="9" xfId="0" applyFont="1" applyFill="1" applyBorder="1" applyAlignment="1"/>
    <xf numFmtId="167" fontId="72" fillId="5" borderId="0" xfId="0" applyNumberFormat="1" applyFont="1" applyFill="1" applyBorder="1"/>
    <xf numFmtId="167" fontId="72" fillId="5" borderId="13" xfId="0" applyNumberFormat="1" applyFont="1" applyFill="1" applyBorder="1"/>
    <xf numFmtId="0" fontId="32" fillId="5" borderId="9" xfId="0" applyFont="1" applyFill="1" applyBorder="1" applyAlignment="1"/>
    <xf numFmtId="0" fontId="32" fillId="50" borderId="40" xfId="0" applyFont="1" applyFill="1" applyBorder="1" applyAlignment="1"/>
    <xf numFmtId="0" fontId="32" fillId="50" borderId="42" xfId="0" applyFont="1" applyFill="1" applyBorder="1" applyAlignment="1"/>
    <xf numFmtId="167" fontId="72" fillId="50" borderId="42" xfId="0" applyNumberFormat="1" applyFont="1" applyFill="1" applyBorder="1"/>
    <xf numFmtId="167" fontId="72" fillId="50" borderId="38" xfId="0" applyNumberFormat="1" applyFont="1" applyFill="1" applyBorder="1"/>
    <xf numFmtId="1" fontId="72" fillId="0" borderId="0" xfId="0" applyNumberFormat="1" applyFont="1" applyFill="1"/>
    <xf numFmtId="0" fontId="67" fillId="0" borderId="0" xfId="0" applyFont="1" applyFill="1" applyAlignment="1">
      <alignment horizontal="left" vertical="center" readingOrder="2"/>
    </xf>
    <xf numFmtId="167" fontId="72" fillId="53" borderId="45" xfId="0" applyNumberFormat="1" applyFont="1" applyFill="1" applyBorder="1"/>
    <xf numFmtId="167" fontId="72" fillId="53" borderId="18" xfId="0" applyNumberFormat="1" applyFont="1" applyFill="1" applyBorder="1"/>
    <xf numFmtId="0" fontId="75" fillId="12" borderId="43" xfId="0" applyFont="1" applyFill="1" applyBorder="1" applyAlignment="1">
      <alignment horizontal="left" vertical="center" readingOrder="2"/>
    </xf>
    <xf numFmtId="0" fontId="67" fillId="12" borderId="44" xfId="0" applyFont="1" applyFill="1" applyBorder="1" applyAlignment="1">
      <alignment horizontal="left" vertical="center" readingOrder="2"/>
    </xf>
    <xf numFmtId="167" fontId="72" fillId="12" borderId="44" xfId="0" applyNumberFormat="1" applyFont="1" applyFill="1" applyBorder="1"/>
    <xf numFmtId="167" fontId="72" fillId="12" borderId="45" xfId="0" applyNumberFormat="1" applyFont="1" applyFill="1" applyBorder="1"/>
    <xf numFmtId="0" fontId="65" fillId="12" borderId="46" xfId="0" applyFont="1" applyFill="1" applyBorder="1" applyAlignment="1">
      <alignment horizontal="left" vertical="center" readingOrder="2"/>
    </xf>
    <xf numFmtId="0" fontId="65" fillId="12" borderId="0" xfId="0" applyFont="1" applyFill="1" applyBorder="1" applyAlignment="1">
      <alignment horizontal="left" vertical="center" readingOrder="2"/>
    </xf>
    <xf numFmtId="167" fontId="76" fillId="12" borderId="0" xfId="0" applyNumberFormat="1" applyFont="1" applyFill="1" applyBorder="1"/>
    <xf numFmtId="0" fontId="67" fillId="12" borderId="48" xfId="0" applyFont="1" applyFill="1" applyBorder="1" applyAlignment="1">
      <alignment horizontal="left" vertical="center" readingOrder="2"/>
    </xf>
    <xf numFmtId="0" fontId="67" fillId="12" borderId="49" xfId="0" applyFont="1" applyFill="1" applyBorder="1" applyAlignment="1">
      <alignment horizontal="left" vertical="center" readingOrder="2"/>
    </xf>
    <xf numFmtId="0" fontId="77" fillId="49" borderId="50" xfId="0" applyFont="1" applyFill="1" applyBorder="1" applyAlignment="1">
      <alignment horizontal="left"/>
    </xf>
    <xf numFmtId="0" fontId="77" fillId="49" borderId="51" xfId="0" applyFont="1" applyFill="1" applyBorder="1" applyAlignment="1">
      <alignment horizontal="left"/>
    </xf>
    <xf numFmtId="167" fontId="74" fillId="49" borderId="51" xfId="0" applyNumberFormat="1" applyFont="1" applyFill="1" applyBorder="1" applyAlignment="1">
      <alignment horizontal="left"/>
    </xf>
    <xf numFmtId="167" fontId="74" fillId="49" borderId="19" xfId="0" applyNumberFormat="1" applyFont="1" applyFill="1" applyBorder="1" applyAlignment="1">
      <alignment horizontal="left"/>
    </xf>
    <xf numFmtId="0" fontId="19" fillId="10" borderId="11" xfId="0" applyFont="1" applyFill="1" applyBorder="1" applyAlignment="1">
      <alignment horizontal="center"/>
    </xf>
    <xf numFmtId="0" fontId="79" fillId="0" borderId="11" xfId="0" applyFont="1" applyFill="1" applyBorder="1" applyAlignment="1">
      <alignment horizontal="center"/>
    </xf>
    <xf numFmtId="0" fontId="19" fillId="8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73" fillId="0" borderId="0" xfId="0" applyFont="1" applyFill="1" applyAlignment="1">
      <alignment horizontal="center" vertical="center" textRotation="90" readingOrder="2"/>
    </xf>
    <xf numFmtId="0" fontId="80" fillId="0" borderId="14" xfId="0" applyFont="1" applyBorder="1" applyAlignment="1">
      <alignment horizontal="right"/>
    </xf>
    <xf numFmtId="1" fontId="0" fillId="0" borderId="0" xfId="0" applyNumberFormat="1"/>
    <xf numFmtId="164" fontId="38" fillId="0" borderId="15" xfId="0" applyNumberFormat="1" applyFont="1" applyBorder="1"/>
    <xf numFmtId="0" fontId="37" fillId="0" borderId="0" xfId="0" applyFont="1" applyFill="1" applyBorder="1" applyAlignment="1">
      <alignment horizontal="right"/>
    </xf>
    <xf numFmtId="6" fontId="37" fillId="0" borderId="0" xfId="0" applyNumberFormat="1" applyFont="1" applyFill="1" applyBorder="1"/>
    <xf numFmtId="0" fontId="81" fillId="0" borderId="0" xfId="0" applyFont="1"/>
    <xf numFmtId="0" fontId="82" fillId="3" borderId="15" xfId="0" applyFont="1" applyFill="1" applyBorder="1"/>
    <xf numFmtId="0" fontId="82" fillId="3" borderId="0" xfId="0" applyFont="1" applyFill="1" applyBorder="1"/>
    <xf numFmtId="0" fontId="0" fillId="0" borderId="0" xfId="0" applyFont="1"/>
    <xf numFmtId="1" fontId="0" fillId="0" borderId="0" xfId="0" applyNumberFormat="1" applyFont="1"/>
    <xf numFmtId="167" fontId="0" fillId="0" borderId="0" xfId="0" applyNumberFormat="1" applyFont="1"/>
    <xf numFmtId="0" fontId="0" fillId="0" borderId="44" xfId="0" applyBorder="1"/>
    <xf numFmtId="0" fontId="0" fillId="0" borderId="45" xfId="0" applyBorder="1"/>
    <xf numFmtId="44" fontId="34" fillId="3" borderId="0" xfId="0" applyNumberFormat="1" applyFont="1" applyFill="1" applyBorder="1"/>
    <xf numFmtId="8" fontId="34" fillId="3" borderId="47" xfId="0" applyNumberFormat="1" applyFont="1" applyFill="1" applyBorder="1"/>
    <xf numFmtId="167" fontId="34" fillId="0" borderId="0" xfId="0" applyNumberFormat="1" applyFont="1" applyBorder="1"/>
    <xf numFmtId="8" fontId="34" fillId="0" borderId="47" xfId="0" applyNumberFormat="1" applyFont="1" applyBorder="1"/>
    <xf numFmtId="6" fontId="34" fillId="3" borderId="0" xfId="0" applyNumberFormat="1" applyFont="1" applyFill="1" applyBorder="1"/>
    <xf numFmtId="8" fontId="82" fillId="3" borderId="55" xfId="0" applyNumberFormat="1" applyFont="1" applyFill="1" applyBorder="1"/>
    <xf numFmtId="8" fontId="82" fillId="3" borderId="47" xfId="0" applyNumberFormat="1" applyFont="1" applyFill="1" applyBorder="1"/>
    <xf numFmtId="0" fontId="80" fillId="0" borderId="57" xfId="0" applyFont="1" applyBorder="1" applyAlignment="1">
      <alignment horizontal="right"/>
    </xf>
    <xf numFmtId="164" fontId="38" fillId="0" borderId="0" xfId="0" applyNumberFormat="1" applyFont="1" applyBorder="1"/>
    <xf numFmtId="172" fontId="38" fillId="0" borderId="47" xfId="0" applyNumberFormat="1" applyFont="1" applyBorder="1"/>
    <xf numFmtId="168" fontId="38" fillId="0" borderId="0" xfId="0" applyNumberFormat="1" applyFont="1" applyBorder="1"/>
    <xf numFmtId="0" fontId="37" fillId="6" borderId="59" xfId="0" applyFont="1" applyFill="1" applyBorder="1" applyAlignment="1">
      <alignment horizontal="right"/>
    </xf>
    <xf numFmtId="8" fontId="37" fillId="6" borderId="60" xfId="0" applyNumberFormat="1" applyFont="1" applyFill="1" applyBorder="1"/>
    <xf numFmtId="1" fontId="33" fillId="0" borderId="0" xfId="0" applyNumberFormat="1" applyFont="1"/>
    <xf numFmtId="164" fontId="33" fillId="0" borderId="0" xfId="0" applyNumberFormat="1" applyFont="1"/>
    <xf numFmtId="167" fontId="78" fillId="12" borderId="49" xfId="0" applyNumberFormat="1" applyFont="1" applyFill="1" applyBorder="1"/>
    <xf numFmtId="167" fontId="74" fillId="0" borderId="0" xfId="0" applyNumberFormat="1" applyFont="1" applyFill="1" applyBorder="1" applyAlignment="1">
      <alignment horizontal="left"/>
    </xf>
    <xf numFmtId="167" fontId="0" fillId="0" borderId="0" xfId="0" applyNumberFormat="1" applyFill="1"/>
    <xf numFmtId="0" fontId="0" fillId="0" borderId="0" xfId="0" applyFill="1"/>
    <xf numFmtId="0" fontId="0" fillId="2" borderId="0" xfId="0" applyFill="1" applyAlignment="1">
      <alignment horizontal="center"/>
    </xf>
    <xf numFmtId="0" fontId="10" fillId="47" borderId="62" xfId="0" applyFont="1" applyFill="1" applyBorder="1" applyAlignment="1">
      <alignment horizontal="left" wrapText="1"/>
    </xf>
    <xf numFmtId="167" fontId="23" fillId="3" borderId="17" xfId="0" applyNumberFormat="1" applyFont="1" applyFill="1" applyBorder="1" applyAlignment="1">
      <alignment wrapText="1"/>
    </xf>
    <xf numFmtId="167" fontId="23" fillId="3" borderId="2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2" fillId="0" borderId="20" xfId="0" applyFont="1" applyBorder="1" applyAlignment="1">
      <alignment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10" fillId="47" borderId="63" xfId="0" applyFont="1" applyFill="1" applyBorder="1" applyAlignment="1">
      <alignment horizontal="left" wrapText="1"/>
    </xf>
    <xf numFmtId="0" fontId="77" fillId="48" borderId="63" xfId="0" applyFont="1" applyFill="1" applyBorder="1" applyAlignment="1">
      <alignment horizontal="left" wrapText="1"/>
    </xf>
    <xf numFmtId="167" fontId="71" fillId="52" borderId="17" xfId="0" applyNumberFormat="1" applyFont="1" applyFill="1" applyBorder="1" applyAlignment="1">
      <alignment wrapText="1"/>
    </xf>
    <xf numFmtId="0" fontId="0" fillId="52" borderId="0" xfId="0" applyFill="1" applyAlignment="1">
      <alignment wrapText="1"/>
    </xf>
    <xf numFmtId="0" fontId="42" fillId="52" borderId="20" xfId="0" applyFont="1" applyFill="1" applyBorder="1" applyAlignment="1">
      <alignment vertical="center" wrapText="1"/>
    </xf>
    <xf numFmtId="0" fontId="43" fillId="52" borderId="61" xfId="0" applyFont="1" applyFill="1" applyBorder="1" applyAlignment="1">
      <alignment horizontal="center" vertical="center" wrapText="1"/>
    </xf>
    <xf numFmtId="0" fontId="43" fillId="52" borderId="47" xfId="0" applyFont="1" applyFill="1" applyBorder="1" applyAlignment="1">
      <alignment horizontal="center" vertical="center" wrapText="1"/>
    </xf>
    <xf numFmtId="0" fontId="43" fillId="52" borderId="23" xfId="0" applyFont="1" applyFill="1" applyBorder="1" applyAlignment="1">
      <alignment horizontal="center" vertical="center" wrapText="1"/>
    </xf>
    <xf numFmtId="0" fontId="10" fillId="11" borderId="63" xfId="0" applyFont="1" applyFill="1" applyBorder="1" applyAlignment="1">
      <alignment horizontal="left" wrapText="1"/>
    </xf>
    <xf numFmtId="0" fontId="43" fillId="0" borderId="24" xfId="0" applyFont="1" applyBorder="1" applyAlignment="1">
      <alignment horizontal="center" vertical="center" wrapText="1"/>
    </xf>
    <xf numFmtId="0" fontId="0" fillId="13" borderId="0" xfId="0" applyFill="1" applyAlignment="1">
      <alignment wrapText="1"/>
    </xf>
    <xf numFmtId="0" fontId="66" fillId="53" borderId="64" xfId="0" applyFont="1" applyFill="1" applyBorder="1" applyAlignment="1">
      <alignment horizontal="left" vertical="center" wrapText="1"/>
    </xf>
    <xf numFmtId="167" fontId="71" fillId="53" borderId="0" xfId="0" applyNumberFormat="1" applyFont="1" applyFill="1" applyBorder="1" applyAlignment="1">
      <alignment wrapText="1"/>
    </xf>
    <xf numFmtId="0" fontId="68" fillId="51" borderId="11" xfId="0" applyFont="1" applyFill="1" applyBorder="1" applyAlignment="1">
      <alignment horizontal="center" vertical="center" wrapText="1" readingOrder="2"/>
    </xf>
    <xf numFmtId="0" fontId="32" fillId="49" borderId="11" xfId="0" applyFont="1" applyFill="1" applyBorder="1" applyAlignment="1">
      <alignment horizontal="left" wrapText="1"/>
    </xf>
    <xf numFmtId="167" fontId="72" fillId="51" borderId="37" xfId="0" applyNumberFormat="1" applyFont="1" applyFill="1" applyBorder="1" applyAlignment="1">
      <alignment wrapText="1"/>
    </xf>
    <xf numFmtId="167" fontId="76" fillId="3" borderId="17" xfId="0" applyNumberFormat="1" applyFont="1" applyFill="1" applyBorder="1" applyAlignment="1">
      <alignment wrapText="1"/>
    </xf>
    <xf numFmtId="167" fontId="76" fillId="3" borderId="2" xfId="0" applyNumberFormat="1" applyFont="1" applyFill="1" applyBorder="1" applyAlignment="1">
      <alignment wrapText="1"/>
    </xf>
    <xf numFmtId="0" fontId="66" fillId="53" borderId="65" xfId="0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167" fontId="0" fillId="0" borderId="0" xfId="0" applyNumberFormat="1" applyFill="1" applyAlignment="1">
      <alignment wrapText="1"/>
    </xf>
    <xf numFmtId="164" fontId="12" fillId="0" borderId="0" xfId="0" applyNumberFormat="1" applyFont="1"/>
    <xf numFmtId="167" fontId="71" fillId="12" borderId="49" xfId="0" applyNumberFormat="1" applyFont="1" applyFill="1" applyBorder="1"/>
    <xf numFmtId="0" fontId="33" fillId="0" borderId="44" xfId="0" applyFont="1" applyBorder="1"/>
    <xf numFmtId="164" fontId="33" fillId="0" borderId="45" xfId="0" applyNumberFormat="1" applyFont="1" applyBorder="1"/>
    <xf numFmtId="0" fontId="33" fillId="0" borderId="0" xfId="0" applyFont="1" applyBorder="1"/>
    <xf numFmtId="164" fontId="33" fillId="0" borderId="47" xfId="0" applyNumberFormat="1" applyFont="1" applyBorder="1"/>
    <xf numFmtId="0" fontId="33" fillId="0" borderId="49" xfId="0" applyFont="1" applyBorder="1"/>
    <xf numFmtId="164" fontId="33" fillId="0" borderId="23" xfId="0" applyNumberFormat="1" applyFont="1" applyBorder="1"/>
    <xf numFmtId="0" fontId="10" fillId="11" borderId="64" xfId="0" applyFont="1" applyFill="1" applyBorder="1" applyAlignment="1">
      <alignment horizontal="left" wrapText="1"/>
    </xf>
    <xf numFmtId="167" fontId="23" fillId="3" borderId="0" xfId="0" applyNumberFormat="1" applyFont="1" applyFill="1" applyBorder="1" applyAlignment="1">
      <alignment wrapText="1"/>
    </xf>
    <xf numFmtId="167" fontId="78" fillId="0" borderId="0" xfId="0" applyNumberFormat="1" applyFont="1" applyFill="1" applyBorder="1" applyAlignment="1">
      <alignment wrapText="1"/>
    </xf>
    <xf numFmtId="10" fontId="0" fillId="0" borderId="0" xfId="0" applyNumberFormat="1" applyFill="1" applyAlignment="1">
      <alignment wrapText="1"/>
    </xf>
    <xf numFmtId="3" fontId="29" fillId="0" borderId="0" xfId="0" applyNumberFormat="1" applyFont="1"/>
    <xf numFmtId="0" fontId="31" fillId="0" borderId="0" xfId="0" applyFont="1"/>
    <xf numFmtId="3" fontId="29" fillId="59" borderId="0" xfId="0" applyNumberFormat="1" applyFont="1" applyFill="1" applyAlignment="1">
      <alignment horizontal="center"/>
    </xf>
    <xf numFmtId="3" fontId="29" fillId="0" borderId="0" xfId="0" applyNumberFormat="1" applyFont="1" applyFill="1" applyAlignment="1">
      <alignment horizontal="center"/>
    </xf>
    <xf numFmtId="44" fontId="0" fillId="0" borderId="0" xfId="80" applyFont="1"/>
    <xf numFmtId="0" fontId="10" fillId="47" borderId="71" xfId="0" applyFont="1" applyFill="1" applyBorder="1" applyAlignment="1">
      <alignment horizontal="left"/>
    </xf>
    <xf numFmtId="167" fontId="71" fillId="12" borderId="23" xfId="0" applyNumberFormat="1" applyFont="1" applyFill="1" applyBorder="1"/>
    <xf numFmtId="10" fontId="33" fillId="61" borderId="0" xfId="0" applyNumberFormat="1" applyFont="1" applyFill="1"/>
    <xf numFmtId="0" fontId="10" fillId="47" borderId="63" xfId="0" applyFont="1" applyFill="1" applyBorder="1" applyAlignment="1">
      <alignment horizontal="left" vertical="center" wrapText="1"/>
    </xf>
    <xf numFmtId="167" fontId="23" fillId="3" borderId="17" xfId="0" applyNumberFormat="1" applyFont="1" applyFill="1" applyBorder="1" applyAlignment="1">
      <alignment vertical="center" wrapText="1"/>
    </xf>
    <xf numFmtId="167" fontId="23" fillId="3" borderId="2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9" fontId="0" fillId="0" borderId="0" xfId="0" applyNumberFormat="1" applyFill="1" applyAlignment="1">
      <alignment horizontal="center" wrapText="1"/>
    </xf>
    <xf numFmtId="44" fontId="29" fillId="0" borderId="0" xfId="81" applyNumberFormat="1" applyFont="1"/>
    <xf numFmtId="167" fontId="76" fillId="12" borderId="47" xfId="0" applyNumberFormat="1" applyFont="1" applyFill="1" applyBorder="1" applyAlignment="1">
      <alignment horizontal="right"/>
    </xf>
    <xf numFmtId="167" fontId="78" fillId="12" borderId="23" xfId="0" applyNumberFormat="1" applyFont="1" applyFill="1" applyBorder="1" applyAlignment="1">
      <alignment horizontal="right"/>
    </xf>
    <xf numFmtId="0" fontId="0" fillId="0" borderId="0" xfId="0" applyAlignment="1">
      <alignment horizontal="center" wrapText="1"/>
    </xf>
    <xf numFmtId="1" fontId="0" fillId="12" borderId="0" xfId="0" applyNumberFormat="1" applyFont="1" applyFill="1" applyBorder="1"/>
    <xf numFmtId="1" fontId="0" fillId="12" borderId="47" xfId="0" applyNumberFormat="1" applyFont="1" applyFill="1" applyBorder="1"/>
    <xf numFmtId="0" fontId="31" fillId="0" borderId="0" xfId="0" applyFont="1" applyBorder="1"/>
    <xf numFmtId="0" fontId="41" fillId="60" borderId="18" xfId="0" applyFont="1" applyFill="1" applyBorder="1" applyAlignment="1">
      <alignment vertical="center"/>
    </xf>
    <xf numFmtId="0" fontId="41" fillId="60" borderId="19" xfId="0" applyFont="1" applyFill="1" applyBorder="1" applyAlignment="1">
      <alignment horizontal="center" vertical="center"/>
    </xf>
    <xf numFmtId="0" fontId="86" fillId="0" borderId="20" xfId="0" applyFont="1" applyBorder="1" applyAlignment="1">
      <alignment vertical="center"/>
    </xf>
    <xf numFmtId="3" fontId="87" fillId="0" borderId="23" xfId="0" applyNumberFormat="1" applyFont="1" applyBorder="1" applyAlignment="1">
      <alignment horizontal="right" vertical="center"/>
    </xf>
    <xf numFmtId="8" fontId="87" fillId="0" borderId="23" xfId="0" applyNumberFormat="1" applyFont="1" applyBorder="1" applyAlignment="1">
      <alignment horizontal="right" vertical="center"/>
    </xf>
    <xf numFmtId="0" fontId="88" fillId="15" borderId="20" xfId="0" applyFont="1" applyFill="1" applyBorder="1" applyAlignment="1">
      <alignment vertical="center"/>
    </xf>
    <xf numFmtId="8" fontId="83" fillId="15" borderId="23" xfId="0" applyNumberFormat="1" applyFont="1" applyFill="1" applyBorder="1" applyAlignment="1">
      <alignment horizontal="right" vertical="center"/>
    </xf>
    <xf numFmtId="0" fontId="41" fillId="60" borderId="20" xfId="0" applyFont="1" applyFill="1" applyBorder="1" applyAlignment="1">
      <alignment vertical="center"/>
    </xf>
    <xf numFmtId="0" fontId="41" fillId="60" borderId="23" xfId="0" applyFont="1" applyFill="1" applyBorder="1" applyAlignment="1">
      <alignment horizontal="center" vertical="center"/>
    </xf>
    <xf numFmtId="0" fontId="83" fillId="60" borderId="23" xfId="0" applyFont="1" applyFill="1" applyBorder="1" applyAlignment="1">
      <alignment horizontal="right" vertical="center"/>
    </xf>
    <xf numFmtId="1" fontId="87" fillId="0" borderId="23" xfId="0" applyNumberFormat="1" applyFont="1" applyBorder="1" applyAlignment="1">
      <alignment horizontal="right" vertical="center"/>
    </xf>
    <xf numFmtId="0" fontId="86" fillId="0" borderId="20" xfId="0" applyFont="1" applyBorder="1" applyAlignment="1">
      <alignment vertical="center" wrapText="1"/>
    </xf>
    <xf numFmtId="9" fontId="86" fillId="0" borderId="23" xfId="0" applyNumberFormat="1" applyFont="1" applyBorder="1" applyAlignment="1">
      <alignment horizontal="right" vertical="center"/>
    </xf>
    <xf numFmtId="8" fontId="86" fillId="0" borderId="23" xfId="0" applyNumberFormat="1" applyFont="1" applyBorder="1" applyAlignment="1">
      <alignment horizontal="right" vertical="center"/>
    </xf>
    <xf numFmtId="3" fontId="86" fillId="0" borderId="23" xfId="0" applyNumberFormat="1" applyFont="1" applyBorder="1" applyAlignment="1">
      <alignment horizontal="right" vertical="center"/>
    </xf>
    <xf numFmtId="8" fontId="88" fillId="65" borderId="23" xfId="0" applyNumberFormat="1" applyFont="1" applyFill="1" applyBorder="1" applyAlignment="1">
      <alignment horizontal="right" vertical="center"/>
    </xf>
    <xf numFmtId="0" fontId="88" fillId="15" borderId="18" xfId="0" applyFont="1" applyFill="1" applyBorder="1" applyAlignment="1">
      <alignment vertical="center"/>
    </xf>
    <xf numFmtId="8" fontId="87" fillId="0" borderId="19" xfId="0" applyNumberFormat="1" applyFont="1" applyBorder="1" applyAlignment="1">
      <alignment horizontal="right" vertical="center"/>
    </xf>
    <xf numFmtId="0" fontId="88" fillId="15" borderId="20" xfId="0" applyFont="1" applyFill="1" applyBorder="1" applyAlignment="1">
      <alignment horizontal="right" vertical="center"/>
    </xf>
    <xf numFmtId="8" fontId="83" fillId="0" borderId="23" xfId="0" applyNumberFormat="1" applyFont="1" applyBorder="1" applyAlignment="1">
      <alignment horizontal="right" vertical="center"/>
    </xf>
    <xf numFmtId="0" fontId="39" fillId="0" borderId="23" xfId="0" applyFont="1" applyBorder="1" applyAlignment="1">
      <alignment vertical="center" wrapText="1"/>
    </xf>
    <xf numFmtId="0" fontId="83" fillId="65" borderId="19" xfId="0" applyFont="1" applyFill="1" applyBorder="1" applyAlignment="1">
      <alignment horizontal="center" vertical="center" wrapText="1"/>
    </xf>
    <xf numFmtId="6" fontId="41" fillId="66" borderId="23" xfId="0" applyNumberFormat="1" applyFont="1" applyFill="1" applyBorder="1" applyAlignment="1">
      <alignment horizontal="center" vertical="center" wrapText="1"/>
    </xf>
    <xf numFmtId="6" fontId="41" fillId="60" borderId="23" xfId="0" applyNumberFormat="1" applyFont="1" applyFill="1" applyBorder="1" applyAlignment="1">
      <alignment horizontal="center" vertical="center" wrapText="1"/>
    </xf>
    <xf numFmtId="49" fontId="87" fillId="0" borderId="23" xfId="0" applyNumberFormat="1" applyFont="1" applyBorder="1" applyAlignment="1">
      <alignment horizontal="center" vertical="center" wrapText="1"/>
    </xf>
    <xf numFmtId="164" fontId="87" fillId="0" borderId="23" xfId="0" applyNumberFormat="1" applyFont="1" applyBorder="1" applyAlignment="1">
      <alignment horizontal="center" vertical="center" wrapText="1"/>
    </xf>
    <xf numFmtId="0" fontId="88" fillId="6" borderId="20" xfId="0" applyFont="1" applyFill="1" applyBorder="1" applyAlignment="1">
      <alignment vertical="center" wrapText="1"/>
    </xf>
    <xf numFmtId="0" fontId="88" fillId="6" borderId="23" xfId="0" applyFont="1" applyFill="1" applyBorder="1" applyAlignment="1">
      <alignment horizontal="center" vertical="center" wrapText="1"/>
    </xf>
    <xf numFmtId="0" fontId="88" fillId="6" borderId="23" xfId="0" applyFont="1" applyFill="1" applyBorder="1" applyAlignment="1">
      <alignment horizontal="center" vertical="center"/>
    </xf>
    <xf numFmtId="0" fontId="10" fillId="47" borderId="52" xfId="0" applyFont="1" applyFill="1" applyBorder="1" applyAlignment="1">
      <alignment horizontal="left"/>
    </xf>
    <xf numFmtId="0" fontId="66" fillId="52" borderId="5" xfId="0" applyFont="1" applyFill="1" applyBorder="1" applyAlignment="1">
      <alignment horizontal="right" vertical="center"/>
    </xf>
    <xf numFmtId="0" fontId="10" fillId="11" borderId="26" xfId="0" applyFont="1" applyFill="1" applyBorder="1" applyAlignment="1">
      <alignment horizontal="left"/>
    </xf>
    <xf numFmtId="44" fontId="12" fillId="0" borderId="0" xfId="0" applyNumberFormat="1" applyFont="1"/>
    <xf numFmtId="44" fontId="12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164" fontId="12" fillId="0" borderId="0" xfId="0" applyNumberFormat="1" applyFont="1" applyAlignment="1">
      <alignment wrapText="1"/>
    </xf>
    <xf numFmtId="2" fontId="12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/>
    <xf numFmtId="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8" fontId="0" fillId="0" borderId="0" xfId="0" applyNumberFormat="1"/>
    <xf numFmtId="164" fontId="0" fillId="0" borderId="0" xfId="0" applyNumberFormat="1" applyFont="1" applyAlignment="1">
      <alignment wrapText="1"/>
    </xf>
    <xf numFmtId="0" fontId="12" fillId="0" borderId="0" xfId="0" applyFont="1" applyFill="1"/>
    <xf numFmtId="44" fontId="0" fillId="0" borderId="0" xfId="0" applyNumberFormat="1" applyFont="1"/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49" fontId="0" fillId="0" borderId="0" xfId="0" applyNumberFormat="1" applyFill="1" applyBorder="1"/>
    <xf numFmtId="49" fontId="0" fillId="0" borderId="0" xfId="0" applyNumberFormat="1" applyBorder="1"/>
    <xf numFmtId="0" fontId="0" fillId="0" borderId="0" xfId="0" applyFill="1" applyBorder="1" applyAlignment="1">
      <alignment horizontal="left"/>
    </xf>
    <xf numFmtId="0" fontId="31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164" fontId="0" fillId="0" borderId="0" xfId="0" applyNumberFormat="1" applyFill="1"/>
    <xf numFmtId="0" fontId="12" fillId="0" borderId="0" xfId="0" applyFont="1" applyFill="1" applyAlignment="1">
      <alignment wrapText="1"/>
    </xf>
    <xf numFmtId="0" fontId="0" fillId="0" borderId="0" xfId="0" applyFont="1" applyBorder="1" applyAlignment="1">
      <alignment horizontal="left" wrapText="1"/>
    </xf>
    <xf numFmtId="164" fontId="0" fillId="0" borderId="0" xfId="0" applyNumberFormat="1" applyFont="1"/>
    <xf numFmtId="0" fontId="0" fillId="0" borderId="9" xfId="0" applyBorder="1"/>
    <xf numFmtId="44" fontId="0" fillId="0" borderId="0" xfId="0" applyNumberFormat="1" applyFont="1" applyAlignment="1">
      <alignment wrapText="1"/>
    </xf>
    <xf numFmtId="0" fontId="0" fillId="0" borderId="0" xfId="0" applyFont="1" applyFill="1" applyAlignment="1">
      <alignment wrapText="1"/>
    </xf>
    <xf numFmtId="0" fontId="33" fillId="0" borderId="0" xfId="0" applyFont="1" applyAlignment="1">
      <alignment wrapText="1"/>
    </xf>
    <xf numFmtId="0" fontId="0" fillId="0" borderId="0" xfId="0" applyFont="1" applyAlignment="1">
      <alignment wrapText="1"/>
    </xf>
    <xf numFmtId="49" fontId="0" fillId="0" borderId="0" xfId="0" applyNumberFormat="1" applyFont="1" applyFill="1" applyBorder="1" applyAlignment="1">
      <alignment wrapText="1"/>
    </xf>
    <xf numFmtId="49" fontId="0" fillId="0" borderId="0" xfId="0" applyNumberFormat="1" applyFont="1" applyFill="1" applyBorder="1"/>
    <xf numFmtId="44" fontId="0" fillId="0" borderId="0" xfId="0" applyNumberFormat="1"/>
    <xf numFmtId="49" fontId="0" fillId="0" borderId="0" xfId="0" applyNumberFormat="1" applyFont="1" applyBorder="1"/>
    <xf numFmtId="44" fontId="0" fillId="0" borderId="0" xfId="0" applyNumberFormat="1" applyAlignment="1">
      <alignment horizontal="left" wrapText="1"/>
    </xf>
    <xf numFmtId="0" fontId="10" fillId="47" borderId="0" xfId="0" applyFont="1" applyFill="1" applyBorder="1" applyAlignment="1">
      <alignment horizontal="left" wrapText="1"/>
    </xf>
    <xf numFmtId="0" fontId="66" fillId="47" borderId="52" xfId="0" applyFont="1" applyFill="1" applyBorder="1" applyAlignment="1">
      <alignment horizontal="left"/>
    </xf>
    <xf numFmtId="0" fontId="0" fillId="0" borderId="0" xfId="0" applyFont="1" applyBorder="1"/>
    <xf numFmtId="44" fontId="29" fillId="0" borderId="0" xfId="0" applyNumberFormat="1" applyFont="1" applyBorder="1"/>
    <xf numFmtId="164" fontId="31" fillId="0" borderId="0" xfId="0" applyNumberFormat="1" applyFont="1"/>
    <xf numFmtId="164" fontId="29" fillId="76" borderId="18" xfId="80" applyNumberFormat="1" applyFont="1" applyFill="1" applyBorder="1" applyAlignment="1">
      <alignment horizontal="center"/>
    </xf>
    <xf numFmtId="0" fontId="70" fillId="51" borderId="40" xfId="0" applyFont="1" applyFill="1" applyBorder="1" applyAlignment="1">
      <alignment horizontal="center" vertical="center" textRotation="90" readingOrder="2"/>
    </xf>
    <xf numFmtId="0" fontId="68" fillId="51" borderId="39" xfId="0" applyFont="1" applyFill="1" applyBorder="1" applyAlignment="1">
      <alignment horizontal="center" vertical="center" readingOrder="2"/>
    </xf>
    <xf numFmtId="0" fontId="32" fillId="49" borderId="39" xfId="0" applyFont="1" applyFill="1" applyBorder="1" applyAlignment="1">
      <alignment horizontal="left"/>
    </xf>
    <xf numFmtId="167" fontId="72" fillId="51" borderId="16" xfId="0" applyNumberFormat="1" applyFont="1" applyFill="1" applyBorder="1"/>
    <xf numFmtId="167" fontId="72" fillId="51" borderId="37" xfId="0" applyNumberFormat="1" applyFont="1" applyFill="1" applyBorder="1"/>
    <xf numFmtId="0" fontId="83" fillId="63" borderId="72" xfId="0" applyFont="1" applyFill="1" applyBorder="1" applyAlignment="1">
      <alignment horizontal="center" vertical="center" wrapText="1"/>
    </xf>
    <xf numFmtId="0" fontId="83" fillId="62" borderId="73" xfId="0" applyFont="1" applyFill="1" applyBorder="1" applyAlignment="1">
      <alignment horizontal="justify" vertical="center" wrapText="1"/>
    </xf>
    <xf numFmtId="0" fontId="83" fillId="62" borderId="74" xfId="0" applyFont="1" applyFill="1" applyBorder="1" applyAlignment="1">
      <alignment horizontal="right" vertical="center" wrapText="1"/>
    </xf>
    <xf numFmtId="0" fontId="83" fillId="62" borderId="75" xfId="0" applyFont="1" applyFill="1" applyBorder="1" applyAlignment="1">
      <alignment horizontal="right" vertical="center" wrapText="1"/>
    </xf>
    <xf numFmtId="0" fontId="87" fillId="0" borderId="76" xfId="0" applyFont="1" applyBorder="1" applyAlignment="1">
      <alignment horizontal="justify" vertical="center" wrapText="1"/>
    </xf>
    <xf numFmtId="164" fontId="87" fillId="0" borderId="69" xfId="80" applyNumberFormat="1" applyFont="1" applyBorder="1" applyAlignment="1">
      <alignment horizontal="center" vertical="center" wrapText="1"/>
    </xf>
    <xf numFmtId="8" fontId="87" fillId="0" borderId="69" xfId="0" applyNumberFormat="1" applyFont="1" applyBorder="1" applyAlignment="1">
      <alignment horizontal="center" vertical="center" wrapText="1"/>
    </xf>
    <xf numFmtId="8" fontId="87" fillId="0" borderId="77" xfId="0" applyNumberFormat="1" applyFont="1" applyBorder="1" applyAlignment="1">
      <alignment horizontal="center" vertical="center" wrapText="1"/>
    </xf>
    <xf numFmtId="0" fontId="87" fillId="0" borderId="78" xfId="0" applyFont="1" applyBorder="1" applyAlignment="1">
      <alignment horizontal="justify" vertical="center" wrapText="1"/>
    </xf>
    <xf numFmtId="8" fontId="87" fillId="0" borderId="79" xfId="0" applyNumberFormat="1" applyFont="1" applyBorder="1" applyAlignment="1">
      <alignment horizontal="center" vertical="center" wrapText="1"/>
    </xf>
    <xf numFmtId="8" fontId="87" fillId="0" borderId="23" xfId="0" applyNumberFormat="1" applyFont="1" applyBorder="1" applyAlignment="1">
      <alignment horizontal="center" vertical="center" wrapText="1"/>
    </xf>
    <xf numFmtId="10" fontId="0" fillId="0" borderId="0" xfId="0" applyNumberFormat="1" applyFont="1"/>
    <xf numFmtId="169" fontId="91" fillId="0" borderId="0" xfId="0" applyNumberFormat="1" applyFont="1" applyBorder="1"/>
    <xf numFmtId="44" fontId="31" fillId="0" borderId="0" xfId="0" applyNumberFormat="1" applyFont="1"/>
    <xf numFmtId="0" fontId="92" fillId="0" borderId="56" xfId="0" applyFont="1" applyBorder="1" applyAlignment="1">
      <alignment wrapText="1"/>
    </xf>
    <xf numFmtId="0" fontId="0" fillId="62" borderId="0" xfId="0" applyFill="1"/>
    <xf numFmtId="164" fontId="87" fillId="0" borderId="23" xfId="0" applyNumberFormat="1" applyFont="1" applyBorder="1" applyAlignment="1">
      <alignment horizontal="right" vertical="center"/>
    </xf>
    <xf numFmtId="0" fontId="87" fillId="61" borderId="0" xfId="0" applyFont="1" applyFill="1" applyBorder="1" applyAlignment="1">
      <alignment horizontal="justify" vertical="center" wrapText="1"/>
    </xf>
    <xf numFmtId="164" fontId="83" fillId="15" borderId="23" xfId="0" applyNumberFormat="1" applyFont="1" applyFill="1" applyBorder="1" applyAlignment="1">
      <alignment horizontal="right" vertical="center"/>
    </xf>
    <xf numFmtId="44" fontId="0" fillId="0" borderId="0" xfId="0" applyNumberFormat="1" applyFont="1" applyAlignment="1">
      <alignment horizontal="left" wrapText="1"/>
    </xf>
    <xf numFmtId="164" fontId="0" fillId="0" borderId="0" xfId="0" applyNumberFormat="1" applyFont="1" applyFill="1"/>
    <xf numFmtId="49" fontId="31" fillId="0" borderId="0" xfId="0" applyNumberFormat="1" applyFont="1" applyFill="1" applyBorder="1"/>
    <xf numFmtId="3" fontId="29" fillId="75" borderId="0" xfId="0" applyNumberFormat="1" applyFont="1" applyFill="1" applyBorder="1" applyAlignment="1">
      <alignment horizontal="center"/>
    </xf>
    <xf numFmtId="0" fontId="19" fillId="8" borderId="0" xfId="0" applyFont="1" applyFill="1" applyAlignment="1">
      <alignment horizontal="center"/>
    </xf>
    <xf numFmtId="3" fontId="94" fillId="0" borderId="0" xfId="0" applyNumberFormat="1" applyFont="1" applyFill="1" applyBorder="1" applyAlignment="1">
      <alignment horizontal="center" vertical="center" wrapText="1"/>
    </xf>
    <xf numFmtId="44" fontId="31" fillId="0" borderId="0" xfId="0" applyNumberFormat="1" applyFont="1" applyAlignment="1">
      <alignment horizontal="left" wrapText="1"/>
    </xf>
    <xf numFmtId="44" fontId="31" fillId="0" borderId="0" xfId="0" applyNumberFormat="1" applyFont="1" applyAlignment="1">
      <alignment wrapText="1"/>
    </xf>
    <xf numFmtId="0" fontId="31" fillId="0" borderId="0" xfId="0" applyFont="1" applyFill="1" applyAlignment="1">
      <alignment wrapText="1"/>
    </xf>
    <xf numFmtId="164" fontId="31" fillId="0" borderId="0" xfId="0" applyNumberFormat="1" applyFont="1" applyAlignment="1">
      <alignment wrapText="1"/>
    </xf>
    <xf numFmtId="0" fontId="73" fillId="0" borderId="0" xfId="0" applyFont="1" applyFill="1" applyAlignment="1">
      <alignment horizontal="center" vertical="center" textRotation="90" readingOrder="2"/>
    </xf>
    <xf numFmtId="0" fontId="0" fillId="58" borderId="0" xfId="0" applyFont="1" applyFill="1" applyAlignment="1">
      <alignment horizontal="left" wrapText="1"/>
    </xf>
    <xf numFmtId="44" fontId="0" fillId="58" borderId="0" xfId="0" applyNumberFormat="1" applyFont="1" applyFill="1" applyAlignment="1">
      <alignment horizontal="left" wrapText="1"/>
    </xf>
    <xf numFmtId="44" fontId="0" fillId="58" borderId="0" xfId="0" applyNumberFormat="1" applyFont="1" applyFill="1" applyAlignment="1">
      <alignment wrapText="1"/>
    </xf>
    <xf numFmtId="0" fontId="0" fillId="58" borderId="0" xfId="0" applyFont="1" applyFill="1" applyAlignment="1">
      <alignment wrapText="1"/>
    </xf>
    <xf numFmtId="164" fontId="0" fillId="58" borderId="0" xfId="0" applyNumberFormat="1" applyFont="1" applyFill="1" applyAlignment="1">
      <alignment wrapText="1"/>
    </xf>
    <xf numFmtId="0" fontId="31" fillId="0" borderId="0" xfId="0" applyFont="1" applyFill="1"/>
    <xf numFmtId="0" fontId="95" fillId="0" borderId="0" xfId="0" applyFont="1"/>
    <xf numFmtId="0" fontId="95" fillId="4" borderId="0" xfId="0" applyFont="1" applyFill="1"/>
    <xf numFmtId="0" fontId="96" fillId="0" borderId="0" xfId="0" applyFont="1"/>
    <xf numFmtId="0" fontId="97" fillId="10" borderId="4" xfId="0" applyFont="1" applyFill="1" applyBorder="1" applyAlignment="1">
      <alignment horizontal="center"/>
    </xf>
    <xf numFmtId="0" fontId="97" fillId="10" borderId="12" xfId="0" applyFont="1" applyFill="1" applyBorder="1" applyAlignment="1">
      <alignment horizontal="center"/>
    </xf>
    <xf numFmtId="0" fontId="97" fillId="10" borderId="6" xfId="0" applyFont="1" applyFill="1" applyBorder="1" applyAlignment="1">
      <alignment horizontal="center"/>
    </xf>
    <xf numFmtId="0" fontId="97" fillId="10" borderId="4" xfId="0" applyFont="1" applyFill="1" applyBorder="1" applyAlignment="1">
      <alignment horizontal="center" wrapText="1"/>
    </xf>
    <xf numFmtId="0" fontId="28" fillId="7" borderId="4" xfId="0" applyFont="1" applyFill="1" applyBorder="1" applyAlignment="1">
      <alignment horizontal="left"/>
    </xf>
    <xf numFmtId="169" fontId="28" fillId="7" borderId="8" xfId="1" applyNumberFormat="1" applyFont="1" applyFill="1" applyBorder="1" applyAlignment="1">
      <alignment horizontal="center"/>
    </xf>
    <xf numFmtId="4" fontId="28" fillId="7" borderId="4" xfId="0" applyNumberFormat="1" applyFont="1" applyFill="1" applyBorder="1" applyAlignment="1">
      <alignment horizontal="center"/>
    </xf>
    <xf numFmtId="0" fontId="96" fillId="0" borderId="5" xfId="0" applyFont="1" applyBorder="1" applyAlignment="1">
      <alignment horizontal="right" vertical="center"/>
    </xf>
    <xf numFmtId="166" fontId="96" fillId="9" borderId="4" xfId="0" applyNumberFormat="1" applyFont="1" applyFill="1" applyBorder="1" applyAlignment="1">
      <alignment horizontal="center"/>
    </xf>
    <xf numFmtId="165" fontId="96" fillId="9" borderId="4" xfId="0" applyNumberFormat="1" applyFont="1" applyFill="1" applyBorder="1" applyAlignment="1">
      <alignment horizontal="center"/>
    </xf>
    <xf numFmtId="169" fontId="96" fillId="8" borderId="8" xfId="1" applyNumberFormat="1" applyFont="1" applyFill="1" applyBorder="1" applyAlignment="1">
      <alignment horizontal="center"/>
    </xf>
    <xf numFmtId="2" fontId="96" fillId="9" borderId="4" xfId="0" applyNumberFormat="1" applyFont="1" applyFill="1" applyBorder="1" applyAlignment="1">
      <alignment horizontal="center"/>
    </xf>
    <xf numFmtId="9" fontId="28" fillId="7" borderId="7" xfId="1" applyFont="1" applyFill="1" applyBorder="1" applyAlignment="1">
      <alignment horizontal="center"/>
    </xf>
    <xf numFmtId="0" fontId="28" fillId="8" borderId="4" xfId="0" applyFont="1" applyFill="1" applyBorder="1" applyAlignment="1">
      <alignment horizontal="right"/>
    </xf>
    <xf numFmtId="9" fontId="28" fillId="3" borderId="2" xfId="1" applyFont="1" applyFill="1" applyBorder="1" applyAlignment="1">
      <alignment horizontal="right"/>
    </xf>
    <xf numFmtId="0" fontId="97" fillId="8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97" fillId="10" borderId="8" xfId="0" applyFont="1" applyFill="1" applyBorder="1" applyAlignment="1">
      <alignment horizontal="center"/>
    </xf>
    <xf numFmtId="0" fontId="97" fillId="10" borderId="25" xfId="0" applyFont="1" applyFill="1" applyBorder="1" applyAlignment="1">
      <alignment horizontal="center"/>
    </xf>
    <xf numFmtId="167" fontId="29" fillId="3" borderId="2" xfId="0" applyNumberFormat="1" applyFont="1" applyFill="1" applyBorder="1"/>
    <xf numFmtId="0" fontId="28" fillId="7" borderId="26" xfId="0" applyFont="1" applyFill="1" applyBorder="1" applyAlignment="1">
      <alignment horizontal="left"/>
    </xf>
    <xf numFmtId="167" fontId="31" fillId="0" borderId="0" xfId="0" applyNumberFormat="1" applyFont="1" applyFill="1"/>
    <xf numFmtId="0" fontId="28" fillId="8" borderId="0" xfId="0" applyFont="1" applyFill="1" applyAlignment="1">
      <alignment horizontal="left"/>
    </xf>
    <xf numFmtId="167" fontId="31" fillId="2" borderId="0" xfId="0" applyNumberFormat="1" applyFont="1" applyFill="1"/>
    <xf numFmtId="171" fontId="31" fillId="2" borderId="0" xfId="0" applyNumberFormat="1" applyFont="1" applyFill="1"/>
    <xf numFmtId="167" fontId="29" fillId="2" borderId="2" xfId="0" applyNumberFormat="1" applyFont="1" applyFill="1" applyBorder="1"/>
    <xf numFmtId="167" fontId="31" fillId="0" borderId="0" xfId="0" applyNumberFormat="1" applyFont="1"/>
    <xf numFmtId="15" fontId="31" fillId="0" borderId="0" xfId="0" applyNumberFormat="1" applyFont="1"/>
    <xf numFmtId="0" fontId="98" fillId="0" borderId="0" xfId="0" applyFont="1" applyFill="1" applyAlignment="1">
      <alignment horizontal="center" vertical="center" textRotation="90" readingOrder="2"/>
    </xf>
    <xf numFmtId="0" fontId="90" fillId="0" borderId="0" xfId="0" applyFont="1" applyFill="1" applyBorder="1" applyAlignment="1">
      <alignment horizontal="center" vertical="center" readingOrder="2"/>
    </xf>
    <xf numFmtId="0" fontId="99" fillId="0" borderId="0" xfId="0" applyFont="1" applyFill="1" applyBorder="1" applyAlignment="1"/>
    <xf numFmtId="167" fontId="100" fillId="0" borderId="0" xfId="0" applyNumberFormat="1" applyFont="1" applyFill="1"/>
    <xf numFmtId="49" fontId="59" fillId="2" borderId="0" xfId="2" applyNumberFormat="1" applyFont="1" applyFill="1"/>
    <xf numFmtId="3" fontId="101" fillId="2" borderId="0" xfId="2" applyNumberFormat="1" applyFont="1" applyFill="1" applyAlignment="1">
      <alignment horizontal="right" vertical="center" wrapText="1"/>
    </xf>
    <xf numFmtId="0" fontId="31" fillId="5" borderId="0" xfId="0" applyFont="1" applyFill="1" applyAlignment="1">
      <alignment horizontal="left"/>
    </xf>
    <xf numFmtId="3" fontId="31" fillId="0" borderId="0" xfId="0" applyNumberFormat="1" applyFont="1"/>
    <xf numFmtId="3" fontId="29" fillId="0" borderId="0" xfId="0" applyNumberFormat="1" applyFont="1" applyBorder="1"/>
    <xf numFmtId="166" fontId="31" fillId="0" borderId="0" xfId="0" applyNumberFormat="1" applyFont="1"/>
    <xf numFmtId="0" fontId="31" fillId="0" borderId="0" xfId="0" applyFont="1" applyAlignment="1">
      <alignment horizontal="center"/>
    </xf>
    <xf numFmtId="0" fontId="102" fillId="0" borderId="23" xfId="0" applyFont="1" applyBorder="1" applyAlignment="1">
      <alignment vertical="center"/>
    </xf>
    <xf numFmtId="0" fontId="89" fillId="55" borderId="18" xfId="0" applyFont="1" applyFill="1" applyBorder="1" applyAlignment="1">
      <alignment horizontal="center" vertical="center" wrapText="1"/>
    </xf>
    <xf numFmtId="0" fontId="89" fillId="55" borderId="19" xfId="0" applyFont="1" applyFill="1" applyBorder="1" applyAlignment="1">
      <alignment horizontal="center" vertical="center" wrapText="1"/>
    </xf>
    <xf numFmtId="0" fontId="89" fillId="55" borderId="81" xfId="0" applyFont="1" applyFill="1" applyBorder="1" applyAlignment="1">
      <alignment horizontal="center" vertical="center" wrapText="1"/>
    </xf>
    <xf numFmtId="0" fontId="89" fillId="55" borderId="20" xfId="0" applyFont="1" applyFill="1" applyBorder="1" applyAlignment="1">
      <alignment horizontal="right" vertical="center"/>
    </xf>
    <xf numFmtId="8" fontId="104" fillId="0" borderId="20" xfId="0" applyNumberFormat="1" applyFont="1" applyBorder="1" applyAlignment="1">
      <alignment horizontal="center" vertical="center"/>
    </xf>
    <xf numFmtId="8" fontId="104" fillId="0" borderId="23" xfId="0" applyNumberFormat="1" applyFont="1" applyBorder="1" applyAlignment="1">
      <alignment horizontal="center" vertical="center"/>
    </xf>
    <xf numFmtId="0" fontId="104" fillId="0" borderId="23" xfId="0" applyFont="1" applyBorder="1" applyAlignment="1">
      <alignment horizontal="center" vertical="center"/>
    </xf>
    <xf numFmtId="3" fontId="104" fillId="0" borderId="23" xfId="0" applyNumberFormat="1" applyFont="1" applyBorder="1" applyAlignment="1">
      <alignment horizontal="center" vertical="center"/>
    </xf>
    <xf numFmtId="3" fontId="95" fillId="0" borderId="0" xfId="0" applyNumberFormat="1" applyFont="1"/>
    <xf numFmtId="0" fontId="103" fillId="0" borderId="0" xfId="0" applyFont="1" applyAlignment="1">
      <alignment wrapText="1"/>
    </xf>
    <xf numFmtId="44" fontId="31" fillId="0" borderId="0" xfId="81" applyFont="1" applyAlignment="1">
      <alignment horizontal="center" vertical="center"/>
    </xf>
    <xf numFmtId="3" fontId="59" fillId="0" borderId="0" xfId="82" applyNumberFormat="1" applyFont="1"/>
    <xf numFmtId="0" fontId="105" fillId="54" borderId="0" xfId="0" applyFont="1" applyFill="1" applyBorder="1" applyAlignment="1">
      <alignment horizontal="center" wrapText="1"/>
    </xf>
    <xf numFmtId="0" fontId="105" fillId="55" borderId="0" xfId="0" applyFont="1" applyFill="1" applyBorder="1" applyAlignment="1">
      <alignment horizontal="center" wrapText="1"/>
    </xf>
    <xf numFmtId="0" fontId="105" fillId="4" borderId="0" xfId="0" applyFont="1" applyFill="1" applyBorder="1" applyAlignment="1">
      <alignment horizontal="center" wrapText="1"/>
    </xf>
    <xf numFmtId="0" fontId="105" fillId="56" borderId="0" xfId="0" applyFont="1" applyFill="1" applyBorder="1" applyAlignment="1">
      <alignment horizontal="center" wrapText="1"/>
    </xf>
    <xf numFmtId="0" fontId="105" fillId="57" borderId="0" xfId="0" applyFont="1" applyFill="1" applyBorder="1" applyAlignment="1">
      <alignment horizontal="center" wrapText="1"/>
    </xf>
    <xf numFmtId="0" fontId="105" fillId="58" borderId="0" xfId="0" applyFont="1" applyFill="1" applyBorder="1" applyAlignment="1">
      <alignment horizontal="center" wrapText="1"/>
    </xf>
    <xf numFmtId="3" fontId="94" fillId="0" borderId="0" xfId="0" applyNumberFormat="1" applyFont="1" applyAlignment="1">
      <alignment horizontal="center" wrapText="1"/>
    </xf>
    <xf numFmtId="3" fontId="94" fillId="0" borderId="0" xfId="0" applyNumberFormat="1" applyFont="1" applyAlignment="1">
      <alignment horizontal="center" vertical="center" wrapText="1"/>
    </xf>
    <xf numFmtId="0" fontId="28" fillId="7" borderId="0" xfId="0" applyFont="1" applyFill="1" applyAlignment="1">
      <alignment horizontal="right"/>
    </xf>
    <xf numFmtId="3" fontId="29" fillId="0" borderId="0" xfId="0" applyNumberFormat="1" applyFont="1" applyAlignment="1">
      <alignment horizontal="center"/>
    </xf>
    <xf numFmtId="3" fontId="29" fillId="2" borderId="0" xfId="0" applyNumberFormat="1" applyFont="1" applyFill="1" applyAlignment="1">
      <alignment horizontal="center"/>
    </xf>
    <xf numFmtId="4" fontId="29" fillId="2" borderId="0" xfId="0" applyNumberFormat="1" applyFont="1" applyFill="1" applyAlignment="1">
      <alignment horizontal="center"/>
    </xf>
    <xf numFmtId="173" fontId="29" fillId="2" borderId="0" xfId="0" applyNumberFormat="1" applyFont="1" applyFill="1" applyAlignment="1">
      <alignment horizontal="center"/>
    </xf>
    <xf numFmtId="44" fontId="29" fillId="2" borderId="0" xfId="81" applyFont="1" applyFill="1"/>
    <xf numFmtId="3" fontId="59" fillId="0" borderId="0" xfId="83" applyNumberFormat="1" applyFont="1"/>
    <xf numFmtId="3" fontId="95" fillId="0" borderId="0" xfId="0" applyNumberFormat="1" applyFont="1" applyAlignment="1">
      <alignment horizontal="center"/>
    </xf>
    <xf numFmtId="49" fontId="89" fillId="5" borderId="0" xfId="0" applyNumberFormat="1" applyFont="1" applyFill="1" applyAlignment="1">
      <alignment horizontal="left"/>
    </xf>
    <xf numFmtId="3" fontId="94" fillId="50" borderId="0" xfId="0" applyNumberFormat="1" applyFont="1" applyFill="1" applyBorder="1" applyAlignment="1">
      <alignment horizontal="center" vertical="center" wrapText="1"/>
    </xf>
    <xf numFmtId="168" fontId="31" fillId="0" borderId="0" xfId="81" applyNumberFormat="1" applyFont="1" applyAlignment="1">
      <alignment horizontal="left" vertical="center"/>
    </xf>
    <xf numFmtId="44" fontId="29" fillId="50" borderId="0" xfId="81" applyNumberFormat="1" applyFont="1" applyFill="1"/>
    <xf numFmtId="0" fontId="28" fillId="7" borderId="0" xfId="0" applyFont="1" applyFill="1" applyBorder="1" applyAlignment="1">
      <alignment horizontal="right"/>
    </xf>
    <xf numFmtId="49" fontId="89" fillId="68" borderId="0" xfId="0" applyNumberFormat="1" applyFont="1" applyFill="1" applyBorder="1" applyAlignment="1">
      <alignment horizontal="left"/>
    </xf>
    <xf numFmtId="0" fontId="105" fillId="69" borderId="0" xfId="0" applyFont="1" applyFill="1" applyBorder="1" applyAlignment="1">
      <alignment horizontal="center" wrapText="1"/>
    </xf>
    <xf numFmtId="0" fontId="105" fillId="70" borderId="0" xfId="0" applyFont="1" applyFill="1" applyBorder="1" applyAlignment="1">
      <alignment horizontal="center" wrapText="1"/>
    </xf>
    <xf numFmtId="0" fontId="105" fillId="71" borderId="0" xfId="0" applyFont="1" applyFill="1" applyBorder="1" applyAlignment="1">
      <alignment horizontal="center" wrapText="1"/>
    </xf>
    <xf numFmtId="0" fontId="105" fillId="72" borderId="0" xfId="0" applyFont="1" applyFill="1" applyBorder="1" applyAlignment="1">
      <alignment horizontal="center" wrapText="1"/>
    </xf>
    <xf numFmtId="0" fontId="105" fillId="73" borderId="0" xfId="0" applyFont="1" applyFill="1" applyBorder="1" applyAlignment="1">
      <alignment horizontal="center" wrapText="1"/>
    </xf>
    <xf numFmtId="0" fontId="105" fillId="74" borderId="0" xfId="0" applyFont="1" applyFill="1" applyBorder="1" applyAlignment="1">
      <alignment horizontal="center" wrapText="1"/>
    </xf>
    <xf numFmtId="3" fontId="94" fillId="0" borderId="0" xfId="0" applyNumberFormat="1" applyFont="1" applyBorder="1" applyAlignment="1">
      <alignment horizontal="center" wrapText="1"/>
    </xf>
    <xf numFmtId="3" fontId="94" fillId="0" borderId="0" xfId="0" applyNumberFormat="1" applyFont="1" applyBorder="1" applyAlignment="1">
      <alignment horizontal="center" vertical="center" wrapText="1"/>
    </xf>
    <xf numFmtId="168" fontId="31" fillId="0" borderId="0" xfId="80" applyNumberFormat="1" applyFont="1" applyBorder="1" applyAlignment="1">
      <alignment horizontal="left" vertical="center"/>
    </xf>
    <xf numFmtId="0" fontId="28" fillId="9" borderId="4" xfId="0" applyFont="1" applyFill="1" applyBorder="1" applyAlignment="1">
      <alignment horizontal="right"/>
    </xf>
    <xf numFmtId="164" fontId="29" fillId="0" borderId="0" xfId="80" applyNumberFormat="1" applyFont="1" applyFill="1" applyBorder="1"/>
    <xf numFmtId="164" fontId="29" fillId="73" borderId="0" xfId="80" applyNumberFormat="1" applyFont="1" applyFill="1" applyBorder="1" applyAlignment="1">
      <alignment horizontal="center"/>
    </xf>
    <xf numFmtId="44" fontId="29" fillId="0" borderId="0" xfId="80" applyFont="1" applyFill="1" applyBorder="1"/>
    <xf numFmtId="44" fontId="29" fillId="0" borderId="0" xfId="80" applyNumberFormat="1" applyFont="1" applyFill="1" applyBorder="1"/>
    <xf numFmtId="44" fontId="31" fillId="0" borderId="0" xfId="0" applyNumberFormat="1" applyFont="1" applyBorder="1"/>
    <xf numFmtId="3" fontId="29" fillId="0" borderId="0" xfId="0" applyNumberFormat="1" applyFont="1" applyFill="1" applyBorder="1" applyAlignment="1">
      <alignment horizontal="center"/>
    </xf>
    <xf numFmtId="17" fontId="29" fillId="0" borderId="0" xfId="0" applyNumberFormat="1" applyFont="1" applyBorder="1"/>
    <xf numFmtId="44" fontId="29" fillId="0" borderId="0" xfId="0" applyNumberFormat="1" applyFont="1" applyBorder="1" applyAlignment="1">
      <alignment horizontal="center"/>
    </xf>
    <xf numFmtId="3" fontId="29" fillId="0" borderId="0" xfId="0" applyNumberFormat="1" applyFont="1" applyBorder="1" applyAlignment="1">
      <alignment horizontal="center"/>
    </xf>
    <xf numFmtId="164" fontId="29" fillId="0" borderId="0" xfId="80" applyNumberFormat="1" applyFont="1" applyBorder="1"/>
    <xf numFmtId="164" fontId="30" fillId="77" borderId="18" xfId="80" applyNumberFormat="1" applyFont="1" applyFill="1" applyBorder="1" applyAlignment="1">
      <alignment horizontal="center"/>
    </xf>
    <xf numFmtId="44" fontId="29" fillId="0" borderId="0" xfId="0" applyNumberFormat="1" applyFont="1" applyBorder="1" applyAlignment="1">
      <alignment horizontal="left"/>
    </xf>
    <xf numFmtId="3" fontId="29" fillId="9" borderId="0" xfId="0" applyNumberFormat="1" applyFont="1" applyFill="1" applyBorder="1" applyAlignment="1">
      <alignment horizontal="center"/>
    </xf>
    <xf numFmtId="4" fontId="29" fillId="9" borderId="0" xfId="0" applyNumberFormat="1" applyFont="1" applyFill="1" applyBorder="1" applyAlignment="1">
      <alignment horizontal="center"/>
    </xf>
    <xf numFmtId="0" fontId="31" fillId="0" borderId="0" xfId="0" applyFont="1" applyBorder="1" applyAlignment="1">
      <alignment horizontal="center"/>
    </xf>
    <xf numFmtId="3" fontId="29" fillId="0" borderId="0" xfId="0" applyNumberFormat="1" applyFont="1" applyBorder="1" applyAlignment="1">
      <alignment horizontal="left"/>
    </xf>
    <xf numFmtId="168" fontId="31" fillId="0" borderId="0" xfId="0" applyNumberFormat="1" applyFont="1" applyBorder="1" applyAlignment="1">
      <alignment horizontal="center"/>
    </xf>
    <xf numFmtId="2" fontId="31" fillId="0" borderId="0" xfId="0" applyNumberFormat="1" applyFont="1" applyBorder="1"/>
    <xf numFmtId="164" fontId="31" fillId="0" borderId="0" xfId="0" applyNumberFormat="1" applyFont="1" applyBorder="1"/>
    <xf numFmtId="173" fontId="29" fillId="9" borderId="0" xfId="0" applyNumberFormat="1" applyFont="1" applyFill="1" applyBorder="1" applyAlignment="1">
      <alignment horizontal="center"/>
    </xf>
    <xf numFmtId="0" fontId="31" fillId="9" borderId="0" xfId="0" applyFont="1" applyFill="1" applyBorder="1" applyAlignment="1">
      <alignment horizontal="center"/>
    </xf>
    <xf numFmtId="44" fontId="29" fillId="9" borderId="0" xfId="80" applyFont="1" applyFill="1" applyBorder="1"/>
    <xf numFmtId="0" fontId="31" fillId="0" borderId="0" xfId="0" applyFont="1" applyAlignment="1">
      <alignment horizontal="right"/>
    </xf>
    <xf numFmtId="44" fontId="31" fillId="0" borderId="0" xfId="80" applyFont="1" applyAlignment="1">
      <alignment horizontal="right"/>
    </xf>
    <xf numFmtId="0" fontId="0" fillId="0" borderId="0" xfId="0" applyFont="1" applyFill="1" applyAlignment="1">
      <alignment horizontal="left"/>
    </xf>
    <xf numFmtId="0" fontId="33" fillId="0" borderId="0" xfId="0" applyFont="1" applyFill="1" applyAlignment="1">
      <alignment horizontal="left"/>
    </xf>
    <xf numFmtId="0" fontId="76" fillId="0" borderId="0" xfId="0" applyFont="1"/>
    <xf numFmtId="0" fontId="33" fillId="0" borderId="43" xfId="0" applyFont="1" applyFill="1" applyBorder="1" applyAlignment="1">
      <alignment horizontal="left"/>
    </xf>
    <xf numFmtId="0" fontId="33" fillId="0" borderId="46" xfId="0" applyFont="1" applyFill="1" applyBorder="1" applyAlignment="1">
      <alignment horizontal="left"/>
    </xf>
    <xf numFmtId="0" fontId="33" fillId="0" borderId="48" xfId="0" applyFont="1" applyFill="1" applyBorder="1" applyAlignment="1">
      <alignment horizontal="left"/>
    </xf>
    <xf numFmtId="0" fontId="0" fillId="0" borderId="44" xfId="0" applyFont="1" applyBorder="1"/>
    <xf numFmtId="1" fontId="0" fillId="0" borderId="44" xfId="0" applyNumberFormat="1" applyFont="1" applyBorder="1"/>
    <xf numFmtId="0" fontId="0" fillId="0" borderId="45" xfId="0" applyFont="1" applyBorder="1"/>
    <xf numFmtId="6" fontId="76" fillId="3" borderId="46" xfId="0" applyNumberFormat="1" applyFont="1" applyFill="1" applyBorder="1"/>
    <xf numFmtId="0" fontId="76" fillId="3" borderId="0" xfId="0" applyFont="1" applyFill="1" applyBorder="1"/>
    <xf numFmtId="3" fontId="76" fillId="3" borderId="0" xfId="0" applyNumberFormat="1" applyFont="1" applyFill="1" applyBorder="1"/>
    <xf numFmtId="44" fontId="76" fillId="3" borderId="0" xfId="0" applyNumberFormat="1" applyFont="1" applyFill="1" applyBorder="1"/>
    <xf numFmtId="8" fontId="76" fillId="3" borderId="47" xfId="0" applyNumberFormat="1" applyFont="1" applyFill="1" applyBorder="1"/>
    <xf numFmtId="0" fontId="76" fillId="0" borderId="46" xfId="0" applyFont="1" applyBorder="1"/>
    <xf numFmtId="0" fontId="76" fillId="0" borderId="0" xfId="0" applyFont="1" applyBorder="1"/>
    <xf numFmtId="3" fontId="76" fillId="0" borderId="0" xfId="0" applyNumberFormat="1" applyFont="1" applyBorder="1"/>
    <xf numFmtId="167" fontId="76" fillId="0" borderId="0" xfId="0" applyNumberFormat="1" applyFont="1" applyBorder="1"/>
    <xf numFmtId="8" fontId="76" fillId="0" borderId="47" xfId="0" applyNumberFormat="1" applyFont="1" applyBorder="1"/>
    <xf numFmtId="3" fontId="0" fillId="0" borderId="0" xfId="0" applyNumberFormat="1" applyFont="1"/>
    <xf numFmtId="6" fontId="76" fillId="3" borderId="0" xfId="0" applyNumberFormat="1" applyFont="1" applyFill="1" applyBorder="1"/>
    <xf numFmtId="0" fontId="71" fillId="3" borderId="54" xfId="0" applyFont="1" applyFill="1" applyBorder="1"/>
    <xf numFmtId="0" fontId="71" fillId="3" borderId="15" xfId="0" applyFont="1" applyFill="1" applyBorder="1"/>
    <xf numFmtId="8" fontId="71" fillId="3" borderId="55" xfId="0" applyNumberFormat="1" applyFont="1" applyFill="1" applyBorder="1"/>
    <xf numFmtId="0" fontId="71" fillId="3" borderId="46" xfId="0" applyFont="1" applyFill="1" applyBorder="1"/>
    <xf numFmtId="0" fontId="71" fillId="3" borderId="0" xfId="0" applyFont="1" applyFill="1" applyBorder="1"/>
    <xf numFmtId="8" fontId="71" fillId="3" borderId="47" xfId="0" applyNumberFormat="1" applyFont="1" applyFill="1" applyBorder="1"/>
    <xf numFmtId="0" fontId="108" fillId="0" borderId="14" xfId="0" applyFont="1" applyBorder="1" applyAlignment="1">
      <alignment horizontal="center"/>
    </xf>
    <xf numFmtId="0" fontId="108" fillId="0" borderId="14" xfId="0" applyFont="1" applyBorder="1" applyAlignment="1">
      <alignment horizontal="right"/>
    </xf>
    <xf numFmtId="0" fontId="108" fillId="0" borderId="57" xfId="0" applyFont="1" applyBorder="1" applyAlignment="1">
      <alignment horizontal="right"/>
    </xf>
    <xf numFmtId="0" fontId="91" fillId="0" borderId="46" xfId="0" applyFont="1" applyBorder="1" applyAlignment="1">
      <alignment horizontal="right" wrapText="1"/>
    </xf>
    <xf numFmtId="3" fontId="91" fillId="0" borderId="0" xfId="0" applyNumberFormat="1" applyFont="1" applyBorder="1"/>
    <xf numFmtId="164" fontId="91" fillId="0" borderId="0" xfId="0" applyNumberFormat="1" applyFont="1" applyBorder="1"/>
    <xf numFmtId="172" fontId="91" fillId="0" borderId="47" xfId="0" applyNumberFormat="1" applyFont="1" applyBorder="1"/>
    <xf numFmtId="166" fontId="0" fillId="0" borderId="0" xfId="0" applyNumberFormat="1" applyFont="1"/>
    <xf numFmtId="0" fontId="91" fillId="0" borderId="54" xfId="0" applyFont="1" applyBorder="1" applyAlignment="1">
      <alignment horizontal="right" wrapText="1"/>
    </xf>
    <xf numFmtId="164" fontId="91" fillId="0" borderId="15" xfId="0" applyNumberFormat="1" applyFont="1" applyBorder="1"/>
    <xf numFmtId="6" fontId="0" fillId="0" borderId="0" xfId="0" applyNumberFormat="1" applyFont="1"/>
    <xf numFmtId="168" fontId="91" fillId="0" borderId="0" xfId="0" applyNumberFormat="1" applyFont="1" applyBorder="1"/>
    <xf numFmtId="168" fontId="91" fillId="0" borderId="15" xfId="0" applyNumberFormat="1" applyFont="1" applyBorder="1"/>
    <xf numFmtId="169" fontId="91" fillId="0" borderId="15" xfId="0" applyNumberFormat="1" applyFont="1" applyBorder="1"/>
    <xf numFmtId="0" fontId="76" fillId="0" borderId="58" xfId="0" applyFont="1" applyBorder="1" applyAlignment="1">
      <alignment wrapText="1"/>
    </xf>
    <xf numFmtId="0" fontId="106" fillId="6" borderId="59" xfId="0" applyFont="1" applyFill="1" applyBorder="1" applyAlignment="1">
      <alignment horizontal="right"/>
    </xf>
    <xf numFmtId="8" fontId="106" fillId="6" borderId="60" xfId="0" applyNumberFormat="1" applyFont="1" applyFill="1" applyBorder="1"/>
    <xf numFmtId="0" fontId="76" fillId="0" borderId="0" xfId="0" applyFont="1" applyBorder="1" applyAlignment="1">
      <alignment wrapText="1"/>
    </xf>
    <xf numFmtId="0" fontId="106" fillId="0" borderId="0" xfId="0" applyFont="1" applyFill="1" applyBorder="1" applyAlignment="1">
      <alignment horizontal="right"/>
    </xf>
    <xf numFmtId="6" fontId="106" fillId="0" borderId="0" xfId="0" applyNumberFormat="1" applyFont="1" applyFill="1" applyBorder="1"/>
    <xf numFmtId="0" fontId="73" fillId="0" borderId="0" xfId="0" applyFont="1" applyFill="1" applyAlignment="1">
      <alignment horizontal="center" vertical="center" textRotation="90" readingOrder="2"/>
    </xf>
    <xf numFmtId="0" fontId="19" fillId="8" borderId="0" xfId="0" applyFont="1" applyFill="1" applyAlignment="1">
      <alignment horizontal="center"/>
    </xf>
    <xf numFmtId="0" fontId="34" fillId="3" borderId="0" xfId="0" applyFont="1" applyFill="1" applyAlignment="1">
      <alignment horizontal="center" vertical="center" wrapText="1"/>
    </xf>
    <xf numFmtId="0" fontId="36" fillId="6" borderId="0" xfId="0" applyFont="1" applyFill="1" applyAlignment="1">
      <alignment horizontal="center" wrapText="1"/>
    </xf>
    <xf numFmtId="0" fontId="34" fillId="3" borderId="0" xfId="0" applyFont="1" applyFill="1" applyAlignment="1">
      <alignment horizontal="center"/>
    </xf>
    <xf numFmtId="6" fontId="34" fillId="2" borderId="0" xfId="0" applyNumberFormat="1" applyFont="1" applyFill="1" applyAlignment="1">
      <alignment horizontal="center"/>
    </xf>
    <xf numFmtId="49" fontId="34" fillId="3" borderId="0" xfId="0" applyNumberFormat="1" applyFont="1" applyFill="1" applyAlignment="1">
      <alignment horizontal="center"/>
    </xf>
    <xf numFmtId="164" fontId="24" fillId="3" borderId="53" xfId="0" applyNumberFormat="1" applyFont="1" applyFill="1" applyBorder="1"/>
    <xf numFmtId="164" fontId="23" fillId="3" borderId="2" xfId="0" applyNumberFormat="1" applyFont="1" applyFill="1" applyBorder="1"/>
    <xf numFmtId="164" fontId="23" fillId="3" borderId="17" xfId="0" applyNumberFormat="1" applyFont="1" applyFill="1" applyBorder="1" applyAlignment="1">
      <alignment wrapText="1"/>
    </xf>
    <xf numFmtId="164" fontId="23" fillId="3" borderId="2" xfId="0" applyNumberFormat="1" applyFont="1" applyFill="1" applyBorder="1" applyAlignment="1">
      <alignment wrapText="1"/>
    </xf>
    <xf numFmtId="164" fontId="76" fillId="3" borderId="2" xfId="0" applyNumberFormat="1" applyFont="1" applyFill="1" applyBorder="1"/>
    <xf numFmtId="164" fontId="76" fillId="0" borderId="2" xfId="0" applyNumberFormat="1" applyFont="1" applyFill="1" applyBorder="1"/>
    <xf numFmtId="164" fontId="106" fillId="3" borderId="2" xfId="0" applyNumberFormat="1" applyFont="1" applyFill="1" applyBorder="1"/>
    <xf numFmtId="164" fontId="30" fillId="3" borderId="2" xfId="0" applyNumberFormat="1" applyFont="1" applyFill="1" applyBorder="1"/>
    <xf numFmtId="164" fontId="66" fillId="48" borderId="4" xfId="0" applyNumberFormat="1" applyFont="1" applyFill="1" applyBorder="1" applyAlignment="1">
      <alignment horizontal="center"/>
    </xf>
    <xf numFmtId="164" fontId="66" fillId="48" borderId="8" xfId="0" applyNumberFormat="1" applyFont="1" applyFill="1" applyBorder="1" applyAlignment="1">
      <alignment horizontal="center"/>
    </xf>
    <xf numFmtId="164" fontId="76" fillId="3" borderId="17" xfId="0" applyNumberFormat="1" applyFont="1" applyFill="1" applyBorder="1" applyAlignment="1">
      <alignment wrapText="1"/>
    </xf>
    <xf numFmtId="164" fontId="76" fillId="3" borderId="2" xfId="0" applyNumberFormat="1" applyFont="1" applyFill="1" applyBorder="1" applyAlignment="1">
      <alignment wrapText="1"/>
    </xf>
    <xf numFmtId="164" fontId="30" fillId="3" borderId="2" xfId="0" applyNumberFormat="1" applyFont="1" applyFill="1" applyBorder="1" applyAlignment="1">
      <alignment wrapText="1"/>
    </xf>
    <xf numFmtId="164" fontId="30" fillId="3" borderId="17" xfId="0" applyNumberFormat="1" applyFont="1" applyFill="1" applyBorder="1" applyAlignment="1">
      <alignment wrapText="1"/>
    </xf>
    <xf numFmtId="164" fontId="71" fillId="53" borderId="0" xfId="0" applyNumberFormat="1" applyFont="1" applyFill="1" applyBorder="1"/>
    <xf numFmtId="164" fontId="72" fillId="51" borderId="36" xfId="0" applyNumberFormat="1" applyFont="1" applyFill="1" applyBorder="1"/>
    <xf numFmtId="164" fontId="72" fillId="51" borderId="11" xfId="0" applyNumberFormat="1" applyFont="1" applyFill="1" applyBorder="1"/>
    <xf numFmtId="174" fontId="24" fillId="3" borderId="53" xfId="80" applyNumberFormat="1" applyFont="1" applyFill="1" applyBorder="1"/>
    <xf numFmtId="164" fontId="76" fillId="0" borderId="2" xfId="0" applyNumberFormat="1" applyFont="1" applyFill="1" applyBorder="1" applyAlignment="1">
      <alignment wrapText="1"/>
    </xf>
    <xf numFmtId="0" fontId="73" fillId="0" borderId="0" xfId="0" applyFont="1" applyFill="1" applyAlignment="1">
      <alignment horizontal="center" vertical="center" textRotation="90" readingOrder="2"/>
    </xf>
    <xf numFmtId="164" fontId="109" fillId="77" borderId="18" xfId="80" applyNumberFormat="1" applyFont="1" applyFill="1" applyBorder="1" applyAlignment="1">
      <alignment horizontal="right"/>
    </xf>
    <xf numFmtId="0" fontId="73" fillId="0" borderId="0" xfId="0" applyFont="1" applyFill="1" applyAlignment="1">
      <alignment horizontal="center" vertical="center" textRotation="90" readingOrder="2"/>
    </xf>
    <xf numFmtId="164" fontId="109" fillId="77" borderId="18" xfId="80" applyNumberFormat="1" applyFont="1" applyFill="1" applyBorder="1" applyAlignment="1">
      <alignment horizontal="center"/>
    </xf>
    <xf numFmtId="3" fontId="111" fillId="0" borderId="0" xfId="0" applyNumberFormat="1" applyFont="1" applyBorder="1" applyAlignment="1">
      <alignment horizontal="center" vertical="center" wrapText="1"/>
    </xf>
    <xf numFmtId="164" fontId="91" fillId="0" borderId="0" xfId="80" applyNumberFormat="1" applyFont="1" applyBorder="1" applyAlignment="1">
      <alignment horizontal="center"/>
    </xf>
    <xf numFmtId="3" fontId="111" fillId="0" borderId="0" xfId="0" applyNumberFormat="1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right"/>
    </xf>
    <xf numFmtId="0" fontId="10" fillId="7" borderId="0" xfId="0" applyFont="1" applyFill="1" applyBorder="1" applyAlignment="1">
      <alignment horizontal="right"/>
    </xf>
    <xf numFmtId="49" fontId="69" fillId="68" borderId="0" xfId="0" applyNumberFormat="1" applyFont="1" applyFill="1" applyBorder="1" applyAlignment="1">
      <alignment horizontal="left"/>
    </xf>
    <xf numFmtId="164" fontId="91" fillId="0" borderId="0" xfId="80" applyNumberFormat="1" applyFont="1" applyFill="1" applyBorder="1" applyAlignment="1">
      <alignment horizontal="center" vertical="center"/>
    </xf>
    <xf numFmtId="164" fontId="91" fillId="73" borderId="0" xfId="8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44" fontId="0" fillId="0" borderId="0" xfId="80" applyFont="1" applyAlignment="1">
      <alignment horizontal="right"/>
    </xf>
    <xf numFmtId="164" fontId="76" fillId="77" borderId="18" xfId="80" applyNumberFormat="1" applyFont="1" applyFill="1" applyBorder="1" applyAlignment="1">
      <alignment horizontal="right"/>
    </xf>
    <xf numFmtId="164" fontId="31" fillId="0" borderId="0" xfId="0" applyNumberFormat="1" applyFont="1" applyBorder="1" applyAlignment="1">
      <alignment horizontal="center"/>
    </xf>
    <xf numFmtId="3" fontId="112" fillId="0" borderId="0" xfId="0" applyNumberFormat="1" applyFont="1" applyBorder="1" applyAlignment="1">
      <alignment horizontal="center" vertical="center" wrapText="1"/>
    </xf>
    <xf numFmtId="164" fontId="113" fillId="0" borderId="0" xfId="80" applyNumberFormat="1" applyFont="1" applyFill="1" applyBorder="1" applyAlignment="1">
      <alignment horizontal="center" vertical="center"/>
    </xf>
    <xf numFmtId="164" fontId="113" fillId="0" borderId="0" xfId="80" applyNumberFormat="1" applyFont="1" applyBorder="1" applyAlignment="1">
      <alignment horizontal="center"/>
    </xf>
    <xf numFmtId="49" fontId="0" fillId="0" borderId="0" xfId="0" applyNumberFormat="1" applyFill="1" applyBorder="1" applyAlignment="1">
      <alignment wrapText="1"/>
    </xf>
    <xf numFmtId="0" fontId="107" fillId="1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 wrapText="1"/>
    </xf>
    <xf numFmtId="167" fontId="76" fillId="3" borderId="66" xfId="0" applyNumberFormat="1" applyFont="1" applyFill="1" applyBorder="1" applyAlignment="1">
      <alignment wrapText="1"/>
    </xf>
    <xf numFmtId="0" fontId="77" fillId="48" borderId="65" xfId="0" applyFont="1" applyFill="1" applyBorder="1" applyAlignment="1">
      <alignment horizontal="right" wrapText="1"/>
    </xf>
    <xf numFmtId="167" fontId="71" fillId="52" borderId="68" xfId="0" applyNumberFormat="1" applyFont="1" applyFill="1" applyBorder="1" applyAlignment="1">
      <alignment wrapText="1"/>
    </xf>
    <xf numFmtId="0" fontId="65" fillId="0" borderId="20" xfId="0" applyFont="1" applyBorder="1" applyAlignment="1">
      <alignment vertical="center" wrapText="1"/>
    </xf>
    <xf numFmtId="167" fontId="65" fillId="67" borderId="23" xfId="0" applyNumberFormat="1" applyFont="1" applyFill="1" applyBorder="1" applyAlignment="1">
      <alignment horizontal="right" vertical="center" wrapText="1"/>
    </xf>
    <xf numFmtId="0" fontId="65" fillId="0" borderId="80" xfId="0" applyFont="1" applyBorder="1" applyAlignment="1">
      <alignment vertical="center" wrapText="1"/>
    </xf>
    <xf numFmtId="0" fontId="65" fillId="0" borderId="18" xfId="0" applyFont="1" applyBorder="1" applyAlignment="1">
      <alignment vertical="center" wrapText="1"/>
    </xf>
    <xf numFmtId="0" fontId="67" fillId="15" borderId="20" xfId="0" applyFont="1" applyFill="1" applyBorder="1" applyAlignment="1">
      <alignment vertical="center" wrapText="1"/>
    </xf>
    <xf numFmtId="167" fontId="67" fillId="15" borderId="23" xfId="0" applyNumberFormat="1" applyFont="1" applyFill="1" applyBorder="1" applyAlignment="1">
      <alignment horizontal="right" vertical="center" wrapText="1"/>
    </xf>
    <xf numFmtId="0" fontId="67" fillId="0" borderId="44" xfId="0" applyFont="1" applyBorder="1" applyAlignment="1">
      <alignment vertical="center" wrapText="1"/>
    </xf>
    <xf numFmtId="167" fontId="67" fillId="67" borderId="23" xfId="0" applyNumberFormat="1" applyFont="1" applyFill="1" applyBorder="1" applyAlignment="1">
      <alignment horizontal="right" vertical="center" wrapText="1"/>
    </xf>
    <xf numFmtId="0" fontId="87" fillId="0" borderId="20" xfId="0" applyFont="1" applyBorder="1" applyAlignment="1">
      <alignment vertical="center" wrapText="1"/>
    </xf>
    <xf numFmtId="167" fontId="87" fillId="0" borderId="23" xfId="0" applyNumberFormat="1" applyFont="1" applyBorder="1" applyAlignment="1">
      <alignment horizontal="right" vertical="center" wrapText="1"/>
    </xf>
    <xf numFmtId="0" fontId="83" fillId="15" borderId="20" xfId="0" applyFont="1" applyFill="1" applyBorder="1" applyAlignment="1">
      <alignment horizontal="right" vertical="center" wrapText="1"/>
    </xf>
    <xf numFmtId="167" fontId="83" fillId="15" borderId="23" xfId="0" applyNumberFormat="1" applyFont="1" applyFill="1" applyBorder="1" applyAlignment="1">
      <alignment horizontal="right" vertical="center" wrapText="1"/>
    </xf>
    <xf numFmtId="0" fontId="106" fillId="10" borderId="11" xfId="0" applyFont="1" applyFill="1" applyBorder="1" applyAlignment="1">
      <alignment horizontal="center"/>
    </xf>
    <xf numFmtId="0" fontId="10" fillId="47" borderId="62" xfId="0" applyFont="1" applyFill="1" applyBorder="1" applyAlignment="1">
      <alignment horizontal="left" vertical="center" wrapText="1"/>
    </xf>
    <xf numFmtId="167" fontId="76" fillId="3" borderId="67" xfId="0" applyNumberFormat="1" applyFont="1" applyFill="1" applyBorder="1" applyAlignment="1">
      <alignment wrapText="1"/>
    </xf>
    <xf numFmtId="0" fontId="77" fillId="48" borderId="63" xfId="0" applyFont="1" applyFill="1" applyBorder="1" applyAlignment="1">
      <alignment horizontal="right" vertical="center" wrapText="1"/>
    </xf>
    <xf numFmtId="167" fontId="71" fillId="52" borderId="67" xfId="0" applyNumberFormat="1" applyFont="1" applyFill="1" applyBorder="1" applyAlignment="1">
      <alignment wrapText="1"/>
    </xf>
    <xf numFmtId="0" fontId="10" fillId="11" borderId="63" xfId="0" applyFont="1" applyFill="1" applyBorder="1" applyAlignment="1">
      <alignment horizontal="left" vertical="center" wrapText="1"/>
    </xf>
    <xf numFmtId="167" fontId="78" fillId="0" borderId="2" xfId="0" applyNumberFormat="1" applyFont="1" applyFill="1" applyBorder="1" applyAlignment="1">
      <alignment wrapText="1"/>
    </xf>
    <xf numFmtId="0" fontId="66" fillId="53" borderId="65" xfId="0" applyFont="1" applyFill="1" applyBorder="1" applyAlignment="1">
      <alignment horizontal="right" vertical="center" wrapText="1"/>
    </xf>
    <xf numFmtId="167" fontId="71" fillId="53" borderId="64" xfId="0" applyNumberFormat="1" applyFont="1" applyFill="1" applyBorder="1" applyAlignment="1">
      <alignment wrapText="1"/>
    </xf>
    <xf numFmtId="0" fontId="32" fillId="49" borderId="40" xfId="0" applyFont="1" applyFill="1" applyBorder="1" applyAlignment="1">
      <alignment horizontal="center" wrapText="1"/>
    </xf>
    <xf numFmtId="0" fontId="32" fillId="49" borderId="38" xfId="0" applyFont="1" applyFill="1" applyBorder="1" applyAlignment="1">
      <alignment horizontal="right" wrapText="1"/>
    </xf>
    <xf numFmtId="167" fontId="72" fillId="51" borderId="16" xfId="0" applyNumberFormat="1" applyFont="1" applyFill="1" applyBorder="1" applyAlignment="1">
      <alignment wrapText="1"/>
    </xf>
    <xf numFmtId="167" fontId="72" fillId="51" borderId="11" xfId="0" applyNumberFormat="1" applyFont="1" applyFill="1" applyBorder="1" applyAlignment="1">
      <alignment wrapText="1"/>
    </xf>
    <xf numFmtId="167" fontId="23" fillId="3" borderId="82" xfId="0" applyNumberFormat="1" applyFont="1" applyFill="1" applyBorder="1" applyAlignment="1">
      <alignment wrapText="1"/>
    </xf>
    <xf numFmtId="167" fontId="76" fillId="3" borderId="82" xfId="0" applyNumberFormat="1" applyFont="1" applyFill="1" applyBorder="1" applyAlignment="1">
      <alignment wrapText="1"/>
    </xf>
    <xf numFmtId="167" fontId="71" fillId="52" borderId="83" xfId="0" applyNumberFormat="1" applyFont="1" applyFill="1" applyBorder="1" applyAlignment="1">
      <alignment wrapText="1"/>
    </xf>
    <xf numFmtId="167" fontId="23" fillId="3" borderId="13" xfId="0" applyNumberFormat="1" applyFont="1" applyFill="1" applyBorder="1" applyAlignment="1">
      <alignment wrapText="1"/>
    </xf>
    <xf numFmtId="167" fontId="71" fillId="53" borderId="13" xfId="0" applyNumberFormat="1" applyFont="1" applyFill="1" applyBorder="1" applyAlignment="1">
      <alignment wrapText="1"/>
    </xf>
    <xf numFmtId="167" fontId="72" fillId="51" borderId="38" xfId="0" applyNumberFormat="1" applyFont="1" applyFill="1" applyBorder="1" applyAlignment="1">
      <alignment wrapText="1"/>
    </xf>
    <xf numFmtId="0" fontId="116" fillId="60" borderId="18" xfId="0" applyFont="1" applyFill="1" applyBorder="1" applyAlignment="1">
      <alignment vertical="center" wrapText="1"/>
    </xf>
    <xf numFmtId="0" fontId="116" fillId="60" borderId="19" xfId="0" applyFont="1" applyFill="1" applyBorder="1" applyAlignment="1">
      <alignment horizontal="center" vertical="center"/>
    </xf>
    <xf numFmtId="0" fontId="117" fillId="60" borderId="18" xfId="0" applyFont="1" applyFill="1" applyBorder="1" applyAlignment="1">
      <alignment vertical="center" wrapText="1"/>
    </xf>
    <xf numFmtId="0" fontId="117" fillId="60" borderId="19" xfId="0" applyFont="1" applyFill="1" applyBorder="1" applyAlignment="1">
      <alignment horizontal="center" vertical="center"/>
    </xf>
    <xf numFmtId="0" fontId="117" fillId="60" borderId="19" xfId="0" applyFont="1" applyFill="1" applyBorder="1" applyAlignment="1">
      <alignment horizontal="center" vertical="center" wrapText="1"/>
    </xf>
    <xf numFmtId="0" fontId="117" fillId="60" borderId="20" xfId="0" applyFont="1" applyFill="1" applyBorder="1" applyAlignment="1">
      <alignment vertical="center" wrapText="1"/>
    </xf>
    <xf numFmtId="0" fontId="117" fillId="60" borderId="23" xfId="0" applyFont="1" applyFill="1" applyBorder="1" applyAlignment="1">
      <alignment horizontal="center" vertical="center"/>
    </xf>
    <xf numFmtId="0" fontId="117" fillId="60" borderId="23" xfId="0" applyFont="1" applyFill="1" applyBorder="1" applyAlignment="1">
      <alignment horizontal="center" vertical="center" wrapText="1"/>
    </xf>
    <xf numFmtId="0" fontId="117" fillId="60" borderId="19" xfId="0" applyFont="1" applyFill="1" applyBorder="1" applyAlignment="1">
      <alignment horizontal="right" vertical="center"/>
    </xf>
    <xf numFmtId="164" fontId="0" fillId="0" borderId="0" xfId="0" applyNumberFormat="1" applyFill="1" applyAlignment="1">
      <alignment horizontal="left" wrapText="1"/>
    </xf>
    <xf numFmtId="1" fontId="0" fillId="0" borderId="0" xfId="0" applyNumberFormat="1" applyFont="1" applyFill="1"/>
    <xf numFmtId="0" fontId="0" fillId="0" borderId="0" xfId="0" applyFont="1" applyFill="1"/>
    <xf numFmtId="0" fontId="19" fillId="10" borderId="11" xfId="0" applyFont="1" applyFill="1" applyBorder="1" applyAlignment="1">
      <alignment horizontal="center" vertical="center" wrapText="1"/>
    </xf>
    <xf numFmtId="0" fontId="114" fillId="0" borderId="39" xfId="0" applyFont="1" applyFill="1" applyBorder="1" applyAlignment="1">
      <alignment horizontal="center"/>
    </xf>
    <xf numFmtId="0" fontId="114" fillId="0" borderId="37" xfId="0" applyFont="1" applyFill="1" applyBorder="1" applyAlignment="1">
      <alignment horizontal="center"/>
    </xf>
    <xf numFmtId="0" fontId="68" fillId="52" borderId="11" xfId="0" applyFont="1" applyFill="1" applyBorder="1" applyAlignment="1">
      <alignment horizontal="center" vertical="center" textRotation="90" wrapText="1" readingOrder="2"/>
    </xf>
    <xf numFmtId="0" fontId="95" fillId="0" borderId="0" xfId="0" applyFont="1" applyAlignment="1">
      <alignment horizontal="center"/>
    </xf>
    <xf numFmtId="0" fontId="46" fillId="4" borderId="40" xfId="0" applyFont="1" applyFill="1" applyBorder="1" applyAlignment="1">
      <alignment horizontal="center"/>
    </xf>
    <xf numFmtId="0" fontId="46" fillId="4" borderId="42" xfId="0" applyFont="1" applyFill="1" applyBorder="1" applyAlignment="1">
      <alignment horizontal="center"/>
    </xf>
    <xf numFmtId="0" fontId="46" fillId="4" borderId="38" xfId="0" applyFont="1" applyFill="1" applyBorder="1" applyAlignment="1">
      <alignment horizontal="center"/>
    </xf>
    <xf numFmtId="0" fontId="46" fillId="0" borderId="10" xfId="0" applyFont="1" applyBorder="1" applyAlignment="1">
      <alignment horizontal="left"/>
    </xf>
    <xf numFmtId="0" fontId="46" fillId="0" borderId="0" xfId="0" applyFont="1" applyBorder="1" applyAlignment="1">
      <alignment horizontal="left"/>
    </xf>
    <xf numFmtId="0" fontId="115" fillId="0" borderId="40" xfId="0" applyFont="1" applyFill="1" applyBorder="1" applyAlignment="1">
      <alignment horizontal="center"/>
    </xf>
    <xf numFmtId="0" fontId="115" fillId="0" borderId="38" xfId="0" applyFont="1" applyFill="1" applyBorder="1" applyAlignment="1">
      <alignment horizontal="center"/>
    </xf>
    <xf numFmtId="0" fontId="68" fillId="52" borderId="36" xfId="0" applyFont="1" applyFill="1" applyBorder="1" applyAlignment="1">
      <alignment horizontal="center" vertical="center" wrapText="1" readingOrder="2"/>
    </xf>
    <xf numFmtId="0" fontId="68" fillId="52" borderId="64" xfId="0" applyFont="1" applyFill="1" applyBorder="1" applyAlignment="1">
      <alignment horizontal="center" vertical="center" wrapText="1" readingOrder="2"/>
    </xf>
    <xf numFmtId="0" fontId="68" fillId="52" borderId="65" xfId="0" applyFont="1" applyFill="1" applyBorder="1" applyAlignment="1">
      <alignment horizontal="center" vertical="center" wrapText="1" readingOrder="2"/>
    </xf>
    <xf numFmtId="0" fontId="68" fillId="12" borderId="36" xfId="0" applyFont="1" applyFill="1" applyBorder="1" applyAlignment="1">
      <alignment horizontal="center" vertical="center" wrapText="1" readingOrder="2"/>
    </xf>
    <xf numFmtId="0" fontId="68" fillId="12" borderId="65" xfId="0" applyFont="1" applyFill="1" applyBorder="1" applyAlignment="1">
      <alignment horizontal="center" vertical="center" wrapText="1" readingOrder="2"/>
    </xf>
    <xf numFmtId="0" fontId="75" fillId="53" borderId="43" xfId="0" applyFont="1" applyFill="1" applyBorder="1" applyAlignment="1">
      <alignment horizontal="left" vertical="center" readingOrder="2"/>
    </xf>
    <xf numFmtId="0" fontId="75" fillId="53" borderId="44" xfId="0" applyFont="1" applyFill="1" applyBorder="1" applyAlignment="1">
      <alignment horizontal="left" vertical="center" readingOrder="2"/>
    </xf>
    <xf numFmtId="0" fontId="67" fillId="53" borderId="48" xfId="0" applyFont="1" applyFill="1" applyBorder="1" applyAlignment="1">
      <alignment horizontal="left" vertical="center" readingOrder="2"/>
    </xf>
    <xf numFmtId="0" fontId="67" fillId="53" borderId="49" xfId="0" applyFont="1" applyFill="1" applyBorder="1" applyAlignment="1">
      <alignment horizontal="left" vertical="center" readingOrder="2"/>
    </xf>
    <xf numFmtId="0" fontId="73" fillId="0" borderId="0" xfId="0" applyFont="1" applyFill="1" applyAlignment="1">
      <alignment horizontal="center" vertical="center" textRotation="90" readingOrder="2"/>
    </xf>
    <xf numFmtId="8" fontId="104" fillId="0" borderId="81" xfId="0" applyNumberFormat="1" applyFont="1" applyBorder="1" applyAlignment="1">
      <alignment horizontal="center" vertical="center"/>
    </xf>
    <xf numFmtId="8" fontId="104" fillId="0" borderId="80" xfId="0" applyNumberFormat="1" applyFont="1" applyBorder="1" applyAlignment="1">
      <alignment horizontal="center" vertical="center"/>
    </xf>
    <xf numFmtId="8" fontId="104" fillId="0" borderId="20" xfId="0" applyNumberFormat="1" applyFont="1" applyBorder="1" applyAlignment="1">
      <alignment horizontal="center" vertical="center"/>
    </xf>
    <xf numFmtId="0" fontId="89" fillId="0" borderId="50" xfId="0" applyFont="1" applyBorder="1" applyAlignment="1">
      <alignment horizontal="left" vertical="center"/>
    </xf>
    <xf numFmtId="0" fontId="89" fillId="0" borderId="51" xfId="0" applyFont="1" applyBorder="1" applyAlignment="1">
      <alignment horizontal="left" vertical="center"/>
    </xf>
    <xf numFmtId="0" fontId="89" fillId="0" borderId="19" xfId="0" applyFont="1" applyBorder="1" applyAlignment="1">
      <alignment horizontal="left" vertical="center"/>
    </xf>
    <xf numFmtId="0" fontId="89" fillId="0" borderId="81" xfId="0" applyFont="1" applyBorder="1" applyAlignment="1">
      <alignment horizontal="right" vertical="center"/>
    </xf>
    <xf numFmtId="0" fontId="89" fillId="0" borderId="20" xfId="0" applyFont="1" applyBorder="1" applyAlignment="1">
      <alignment horizontal="right" vertical="center"/>
    </xf>
    <xf numFmtId="0" fontId="89" fillId="55" borderId="81" xfId="0" applyFont="1" applyFill="1" applyBorder="1" applyAlignment="1">
      <alignment horizontal="center" vertical="center" wrapText="1"/>
    </xf>
    <xf numFmtId="0" fontId="89" fillId="55" borderId="20" xfId="0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left" vertical="center"/>
    </xf>
    <xf numFmtId="0" fontId="83" fillId="0" borderId="51" xfId="0" applyFont="1" applyBorder="1" applyAlignment="1">
      <alignment horizontal="left" vertical="center"/>
    </xf>
    <xf numFmtId="0" fontId="83" fillId="0" borderId="19" xfId="0" applyFont="1" applyBorder="1" applyAlignment="1">
      <alignment horizontal="left" vertical="center"/>
    </xf>
    <xf numFmtId="0" fontId="89" fillId="55" borderId="81" xfId="0" applyFont="1" applyFill="1" applyBorder="1" applyAlignment="1">
      <alignment horizontal="right" vertical="center"/>
    </xf>
    <xf numFmtId="0" fontId="89" fillId="55" borderId="80" xfId="0" applyFont="1" applyFill="1" applyBorder="1" applyAlignment="1">
      <alignment horizontal="right" vertical="center"/>
    </xf>
    <xf numFmtId="0" fontId="89" fillId="55" borderId="20" xfId="0" applyFont="1" applyFill="1" applyBorder="1" applyAlignment="1">
      <alignment horizontal="right" vertical="center"/>
    </xf>
    <xf numFmtId="164" fontId="113" fillId="0" borderId="0" xfId="80" applyNumberFormat="1" applyFont="1" applyFill="1" applyBorder="1" applyAlignment="1">
      <alignment horizontal="center" vertical="center"/>
    </xf>
    <xf numFmtId="0" fontId="70" fillId="51" borderId="11" xfId="0" applyFont="1" applyFill="1" applyBorder="1" applyAlignment="1">
      <alignment horizontal="center" vertical="center" textRotation="90" readingOrder="2"/>
    </xf>
    <xf numFmtId="0" fontId="68" fillId="12" borderId="38" xfId="0" applyFont="1" applyFill="1" applyBorder="1" applyAlignment="1">
      <alignment horizontal="center" vertical="center" textRotation="90" readingOrder="2"/>
    </xf>
    <xf numFmtId="0" fontId="68" fillId="12" borderId="37" xfId="0" applyFont="1" applyFill="1" applyBorder="1" applyAlignment="1">
      <alignment horizontal="center" vertical="center" textRotation="90" readingOrder="2"/>
    </xf>
    <xf numFmtId="0" fontId="34" fillId="3" borderId="0" xfId="0" applyFont="1" applyFill="1" applyAlignment="1">
      <alignment horizontal="center" vertical="center" wrapText="1"/>
    </xf>
    <xf numFmtId="0" fontId="69" fillId="13" borderId="40" xfId="0" applyFont="1" applyFill="1" applyBorder="1" applyAlignment="1">
      <alignment horizontal="center" vertical="center" textRotation="90" readingOrder="2"/>
    </xf>
    <xf numFmtId="0" fontId="68" fillId="50" borderId="39" xfId="0" applyFont="1" applyFill="1" applyBorder="1" applyAlignment="1">
      <alignment horizontal="center" vertical="center" textRotation="90" readingOrder="2"/>
    </xf>
    <xf numFmtId="0" fontId="68" fillId="50" borderId="9" xfId="0" applyFont="1" applyFill="1" applyBorder="1" applyAlignment="1">
      <alignment horizontal="center" vertical="center" textRotation="90" readingOrder="2"/>
    </xf>
    <xf numFmtId="0" fontId="68" fillId="50" borderId="41" xfId="0" applyFont="1" applyFill="1" applyBorder="1" applyAlignment="1">
      <alignment horizontal="center" vertical="center" textRotation="90" readingOrder="2"/>
    </xf>
    <xf numFmtId="0" fontId="36" fillId="6" borderId="0" xfId="0" applyFont="1" applyFill="1" applyAlignment="1">
      <alignment horizontal="center" wrapText="1"/>
    </xf>
    <xf numFmtId="6" fontId="34" fillId="2" borderId="0" xfId="0" applyNumberFormat="1" applyFont="1" applyFill="1" applyAlignment="1">
      <alignment horizontal="center"/>
    </xf>
    <xf numFmtId="0" fontId="34" fillId="3" borderId="0" xfId="0" applyFont="1" applyFill="1" applyAlignment="1">
      <alignment horizontal="center"/>
    </xf>
    <xf numFmtId="49" fontId="34" fillId="3" borderId="0" xfId="0" applyNumberFormat="1" applyFont="1" applyFill="1" applyAlignment="1">
      <alignment horizontal="center"/>
    </xf>
    <xf numFmtId="0" fontId="79" fillId="0" borderId="40" xfId="0" applyFont="1" applyFill="1" applyBorder="1" applyAlignment="1">
      <alignment horizontal="center"/>
    </xf>
    <xf numFmtId="0" fontId="79" fillId="0" borderId="38" xfId="0" applyFont="1" applyFill="1" applyBorder="1" applyAlignment="1">
      <alignment horizontal="center"/>
    </xf>
    <xf numFmtId="0" fontId="68" fillId="12" borderId="64" xfId="0" applyFont="1" applyFill="1" applyBorder="1" applyAlignment="1">
      <alignment horizontal="center" vertical="center" wrapText="1" readingOrder="2"/>
    </xf>
    <xf numFmtId="9" fontId="0" fillId="0" borderId="0" xfId="0" applyNumberFormat="1" applyFill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5" fillId="4" borderId="40" xfId="0" applyFont="1" applyFill="1" applyBorder="1" applyAlignment="1">
      <alignment horizontal="center"/>
    </xf>
    <xf numFmtId="0" fontId="25" fillId="4" borderId="42" xfId="0" applyFont="1" applyFill="1" applyBorder="1" applyAlignment="1">
      <alignment horizontal="center"/>
    </xf>
    <xf numFmtId="0" fontId="25" fillId="4" borderId="38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9" fillId="8" borderId="25" xfId="0" applyFont="1" applyFill="1" applyBorder="1" applyAlignment="1">
      <alignment horizontal="center"/>
    </xf>
    <xf numFmtId="0" fontId="19" fillId="8" borderId="0" xfId="0" applyFont="1" applyFill="1" applyAlignment="1">
      <alignment horizontal="center"/>
    </xf>
    <xf numFmtId="0" fontId="68" fillId="12" borderId="38" xfId="0" applyFont="1" applyFill="1" applyBorder="1" applyAlignment="1">
      <alignment horizontal="center" vertical="center" textRotation="90" wrapText="1" readingOrder="2"/>
    </xf>
    <xf numFmtId="0" fontId="68" fillId="12" borderId="37" xfId="0" applyFont="1" applyFill="1" applyBorder="1" applyAlignment="1">
      <alignment horizontal="center" vertical="center" textRotation="90" wrapText="1" readingOrder="2"/>
    </xf>
    <xf numFmtId="0" fontId="79" fillId="0" borderId="0" xfId="0" applyFont="1" applyFill="1" applyBorder="1" applyAlignment="1">
      <alignment horizontal="center"/>
    </xf>
    <xf numFmtId="0" fontId="79" fillId="0" borderId="13" xfId="0" applyFont="1" applyFill="1" applyBorder="1" applyAlignment="1">
      <alignment horizontal="center"/>
    </xf>
    <xf numFmtId="0" fontId="83" fillId="65" borderId="81" xfId="0" applyFont="1" applyFill="1" applyBorder="1" applyAlignment="1">
      <alignment vertical="center" wrapText="1"/>
    </xf>
    <xf numFmtId="0" fontId="83" fillId="65" borderId="20" xfId="0" applyFont="1" applyFill="1" applyBorder="1" applyAlignment="1">
      <alignment vertical="center" wrapText="1"/>
    </xf>
    <xf numFmtId="0" fontId="87" fillId="0" borderId="81" xfId="0" applyFont="1" applyBorder="1" applyAlignment="1">
      <alignment horizontal="center" vertical="center" wrapText="1"/>
    </xf>
    <xf numFmtId="0" fontId="87" fillId="0" borderId="20" xfId="0" applyFont="1" applyBorder="1" applyAlignment="1">
      <alignment horizontal="center" vertical="center" wrapText="1"/>
    </xf>
    <xf numFmtId="0" fontId="41" fillId="60" borderId="50" xfId="0" applyFont="1" applyFill="1" applyBorder="1" applyAlignment="1">
      <alignment vertical="center" wrapText="1"/>
    </xf>
    <xf numFmtId="0" fontId="41" fillId="60" borderId="19" xfId="0" applyFont="1" applyFill="1" applyBorder="1" applyAlignment="1">
      <alignment vertical="center" wrapText="1"/>
    </xf>
    <xf numFmtId="0" fontId="83" fillId="65" borderId="43" xfId="0" applyFont="1" applyFill="1" applyBorder="1" applyAlignment="1">
      <alignment vertical="center" wrapText="1"/>
    </xf>
    <xf numFmtId="0" fontId="83" fillId="65" borderId="45" xfId="0" applyFont="1" applyFill="1" applyBorder="1" applyAlignment="1">
      <alignment vertical="center" wrapText="1"/>
    </xf>
    <xf numFmtId="0" fontId="83" fillId="65" borderId="48" xfId="0" applyFont="1" applyFill="1" applyBorder="1" applyAlignment="1">
      <alignment vertical="center" wrapText="1"/>
    </xf>
    <xf numFmtId="0" fontId="83" fillId="65" borderId="23" xfId="0" applyFont="1" applyFill="1" applyBorder="1" applyAlignment="1">
      <alignment vertical="center" wrapText="1"/>
    </xf>
    <xf numFmtId="0" fontId="41" fillId="66" borderId="50" xfId="0" applyFont="1" applyFill="1" applyBorder="1" applyAlignment="1">
      <alignment vertical="center" wrapText="1"/>
    </xf>
    <xf numFmtId="0" fontId="41" fillId="66" borderId="19" xfId="0" applyFont="1" applyFill="1" applyBorder="1" applyAlignment="1">
      <alignment vertical="center" wrapText="1"/>
    </xf>
    <xf numFmtId="0" fontId="90" fillId="0" borderId="43" xfId="0" applyFont="1" applyBorder="1" applyAlignment="1">
      <alignment horizontal="center" vertical="center"/>
    </xf>
    <xf numFmtId="0" fontId="90" fillId="0" borderId="44" xfId="0" applyFont="1" applyBorder="1" applyAlignment="1">
      <alignment horizontal="center" vertical="center"/>
    </xf>
    <xf numFmtId="0" fontId="90" fillId="0" borderId="45" xfId="0" applyFont="1" applyBorder="1" applyAlignment="1">
      <alignment horizontal="center" vertical="center"/>
    </xf>
    <xf numFmtId="0" fontId="90" fillId="0" borderId="48" xfId="0" applyFont="1" applyBorder="1" applyAlignment="1">
      <alignment horizontal="center" vertical="center"/>
    </xf>
    <xf numFmtId="0" fontId="90" fillId="0" borderId="49" xfId="0" applyFont="1" applyBorder="1" applyAlignment="1">
      <alignment horizontal="center" vertical="center"/>
    </xf>
    <xf numFmtId="0" fontId="90" fillId="0" borderId="23" xfId="0" applyFont="1" applyBorder="1" applyAlignment="1">
      <alignment horizontal="center" vertical="center"/>
    </xf>
    <xf numFmtId="49" fontId="87" fillId="0" borderId="50" xfId="0" applyNumberFormat="1" applyFont="1" applyBorder="1" applyAlignment="1">
      <alignment horizontal="center" vertical="center" wrapText="1"/>
    </xf>
    <xf numFmtId="49" fontId="87" fillId="0" borderId="19" xfId="0" applyNumberFormat="1" applyFont="1" applyBorder="1" applyAlignment="1">
      <alignment horizontal="center" vertical="center" wrapText="1"/>
    </xf>
    <xf numFmtId="164" fontId="87" fillId="0" borderId="50" xfId="0" applyNumberFormat="1" applyFont="1" applyBorder="1" applyAlignment="1">
      <alignment horizontal="center" vertical="center" wrapText="1"/>
    </xf>
    <xf numFmtId="164" fontId="87" fillId="0" borderId="19" xfId="0" applyNumberFormat="1" applyFont="1" applyBorder="1" applyAlignment="1">
      <alignment horizontal="center" vertical="center" wrapText="1"/>
    </xf>
    <xf numFmtId="49" fontId="87" fillId="0" borderId="51" xfId="0" applyNumberFormat="1" applyFont="1" applyBorder="1" applyAlignment="1">
      <alignment horizontal="center" vertical="center" wrapText="1"/>
    </xf>
    <xf numFmtId="164" fontId="87" fillId="0" borderId="51" xfId="0" applyNumberFormat="1" applyFont="1" applyBorder="1" applyAlignment="1">
      <alignment horizontal="center" vertical="center" wrapText="1"/>
    </xf>
    <xf numFmtId="0" fontId="88" fillId="65" borderId="50" xfId="0" applyFont="1" applyFill="1" applyBorder="1" applyAlignment="1">
      <alignment horizontal="right" vertical="center" wrapText="1"/>
    </xf>
    <xf numFmtId="0" fontId="88" fillId="65" borderId="51" xfId="0" applyFont="1" applyFill="1" applyBorder="1" applyAlignment="1">
      <alignment horizontal="right" vertical="center" wrapText="1"/>
    </xf>
    <xf numFmtId="0" fontId="88" fillId="65" borderId="19" xfId="0" applyFont="1" applyFill="1" applyBorder="1" applyAlignment="1">
      <alignment horizontal="right" vertical="center" wrapText="1"/>
    </xf>
    <xf numFmtId="0" fontId="41" fillId="60" borderId="50" xfId="0" applyFont="1" applyFill="1" applyBorder="1" applyAlignment="1">
      <alignment vertical="center"/>
    </xf>
    <xf numFmtId="0" fontId="41" fillId="60" borderId="51" xfId="0" applyFont="1" applyFill="1" applyBorder="1" applyAlignment="1">
      <alignment vertical="center"/>
    </xf>
    <xf numFmtId="0" fontId="41" fillId="60" borderId="19" xfId="0" applyFont="1" applyFill="1" applyBorder="1" applyAlignment="1">
      <alignment vertical="center"/>
    </xf>
    <xf numFmtId="0" fontId="83" fillId="64" borderId="70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/>
  </cellXfs>
  <cellStyles count="87">
    <cellStyle name="20% - Énfasis1" xfId="28" builtinId="30" customBuiltin="1"/>
    <cellStyle name="20% - Énfasis1 2" xfId="56"/>
    <cellStyle name="20% - Énfasis2" xfId="32" builtinId="34" customBuiltin="1"/>
    <cellStyle name="20% - Énfasis2 2" xfId="59"/>
    <cellStyle name="20% - Énfasis3" xfId="36" builtinId="38" customBuiltin="1"/>
    <cellStyle name="20% - Énfasis3 2" xfId="62"/>
    <cellStyle name="20% - Énfasis4" xfId="40" builtinId="42" customBuiltin="1"/>
    <cellStyle name="20% - Énfasis4 2" xfId="65"/>
    <cellStyle name="20% - Énfasis5" xfId="44" builtinId="46" customBuiltin="1"/>
    <cellStyle name="20% - Énfasis5 2" xfId="68"/>
    <cellStyle name="20% - Énfasis6" xfId="48" builtinId="50" customBuiltin="1"/>
    <cellStyle name="20% - Énfasis6 2" xfId="71"/>
    <cellStyle name="40% - Énfasis1" xfId="29" builtinId="31" customBuiltin="1"/>
    <cellStyle name="40% - Énfasis1 2" xfId="57"/>
    <cellStyle name="40% - Énfasis2" xfId="33" builtinId="35" customBuiltin="1"/>
    <cellStyle name="40% - Énfasis2 2" xfId="60"/>
    <cellStyle name="40% - Énfasis3" xfId="37" builtinId="39" customBuiltin="1"/>
    <cellStyle name="40% - Énfasis3 2" xfId="63"/>
    <cellStyle name="40% - Énfasis4" xfId="41" builtinId="43" customBuiltin="1"/>
    <cellStyle name="40% - Énfasis4 2" xfId="66"/>
    <cellStyle name="40% - Énfasis5" xfId="45" builtinId="47" customBuiltin="1"/>
    <cellStyle name="40% - Énfasis5 2" xfId="69"/>
    <cellStyle name="40% - Énfasis6" xfId="49" builtinId="51" customBuiltin="1"/>
    <cellStyle name="40% - Énfasis6 2" xfId="72"/>
    <cellStyle name="60% - Énfasis1" xfId="30" builtinId="32" customBuiltin="1"/>
    <cellStyle name="60% - Énfasis1 2" xfId="58"/>
    <cellStyle name="60% - Énfasis2" xfId="34" builtinId="36" customBuiltin="1"/>
    <cellStyle name="60% - Énfasis2 2" xfId="61"/>
    <cellStyle name="60% - Énfasis3" xfId="38" builtinId="40" customBuiltin="1"/>
    <cellStyle name="60% - Énfasis3 2" xfId="64"/>
    <cellStyle name="60% - Énfasis4" xfId="42" builtinId="44" customBuiltin="1"/>
    <cellStyle name="60% - Énfasis4 2" xfId="67"/>
    <cellStyle name="60% - Énfasis5" xfId="46" builtinId="48" customBuiltin="1"/>
    <cellStyle name="60% - Énfasis5 2" xfId="70"/>
    <cellStyle name="60% - Énfasis6" xfId="50" builtinId="52" customBuiltin="1"/>
    <cellStyle name="60% - Énfasis6 2" xfId="73"/>
    <cellStyle name="Buena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Incorrecto" xfId="17" builtinId="27" customBuiltin="1"/>
    <cellStyle name="Moneda" xfId="80" builtinId="4"/>
    <cellStyle name="Moneda 2" xfId="8"/>
    <cellStyle name="Moneda 3" xfId="77"/>
    <cellStyle name="Moneda 4" xfId="81"/>
    <cellStyle name="Moneda 5" xfId="85"/>
    <cellStyle name="Neutral" xfId="18" builtinId="28" customBuiltin="1"/>
    <cellStyle name="Normal" xfId="0" builtinId="0"/>
    <cellStyle name="Normal 10" xfId="84"/>
    <cellStyle name="Normal 2" xfId="2"/>
    <cellStyle name="Normal 2 2" xfId="86"/>
    <cellStyle name="Normal 3" xfId="4"/>
    <cellStyle name="Normal 3 2" xfId="6"/>
    <cellStyle name="Normal 3 2 2" xfId="76"/>
    <cellStyle name="Normal 4" xfId="3"/>
    <cellStyle name="Normal 5" xfId="5"/>
    <cellStyle name="Normal 5 2" xfId="75"/>
    <cellStyle name="Normal 6" xfId="9"/>
    <cellStyle name="Normal 7" xfId="10"/>
    <cellStyle name="Normal 8" xfId="51"/>
    <cellStyle name="Normal 8 2" xfId="79"/>
    <cellStyle name="Normal 8 3" xfId="83"/>
    <cellStyle name="Normal 9" xfId="54"/>
    <cellStyle name="Normal 9 2" xfId="78"/>
    <cellStyle name="Normal 9 3" xfId="82"/>
    <cellStyle name="Notas 2" xfId="52"/>
    <cellStyle name="Notas 3" xfId="55"/>
    <cellStyle name="Porcentaje" xfId="1" builtinId="5"/>
    <cellStyle name="Porcentaje 2" xfId="7"/>
    <cellStyle name="Porcentaje 3" xfId="53"/>
    <cellStyle name="Porcentaje 4" xfId="74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1" xfId="12" builtinId="16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4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ERCIAL/BALAN&#199;%20COMERCIAL_AMB%20IMPORTS%20ACTUALITZ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2024"/>
      <sheetName val="JUNY 2024"/>
      <sheetName val="Litres TOTALS 2024"/>
    </sheetNames>
    <sheetDataSet>
      <sheetData sheetId="0"/>
      <sheetData sheetId="1">
        <row r="11">
          <cell r="D11">
            <v>2400</v>
          </cell>
        </row>
      </sheetData>
      <sheetData sheetId="2">
        <row r="11">
          <cell r="D11">
            <v>2400</v>
          </cell>
          <cell r="F11">
            <v>4460</v>
          </cell>
          <cell r="H11">
            <v>9200</v>
          </cell>
          <cell r="J11">
            <v>9240</v>
          </cell>
          <cell r="L11">
            <v>3720</v>
          </cell>
          <cell r="N11">
            <v>0</v>
          </cell>
        </row>
        <row r="20">
          <cell r="D20">
            <v>6180</v>
          </cell>
          <cell r="F20">
            <v>8720</v>
          </cell>
          <cell r="H20">
            <v>10600</v>
          </cell>
          <cell r="J20">
            <v>11760</v>
          </cell>
          <cell r="L20">
            <v>5240</v>
          </cell>
          <cell r="N20">
            <v>1560</v>
          </cell>
          <cell r="R20">
            <v>1780</v>
          </cell>
          <cell r="T20">
            <v>3000</v>
          </cell>
          <cell r="V20">
            <v>6080</v>
          </cell>
          <cell r="X20">
            <v>5020</v>
          </cell>
          <cell r="Z20">
            <v>2320</v>
          </cell>
          <cell r="AB20">
            <v>120</v>
          </cell>
        </row>
        <row r="29">
          <cell r="D29">
            <v>1960</v>
          </cell>
          <cell r="F29">
            <v>2280</v>
          </cell>
          <cell r="H29">
            <v>4140</v>
          </cell>
          <cell r="J29">
            <v>3280</v>
          </cell>
          <cell r="L29">
            <v>2080</v>
          </cell>
          <cell r="N29">
            <v>480</v>
          </cell>
        </row>
        <row r="38">
          <cell r="D38">
            <v>4120</v>
          </cell>
          <cell r="F38">
            <v>3800</v>
          </cell>
          <cell r="H38">
            <v>8160</v>
          </cell>
          <cell r="J38">
            <v>9020</v>
          </cell>
          <cell r="L38">
            <v>7320</v>
          </cell>
          <cell r="N38">
            <v>0</v>
          </cell>
        </row>
        <row r="47">
          <cell r="D47">
            <v>840</v>
          </cell>
          <cell r="F47">
            <v>1200</v>
          </cell>
          <cell r="H47">
            <v>960</v>
          </cell>
          <cell r="J47">
            <v>1640</v>
          </cell>
          <cell r="L47">
            <v>640</v>
          </cell>
          <cell r="N47">
            <v>440</v>
          </cell>
        </row>
        <row r="56">
          <cell r="D56">
            <v>1940</v>
          </cell>
          <cell r="F56">
            <v>1320</v>
          </cell>
          <cell r="H56">
            <v>2560</v>
          </cell>
          <cell r="J56">
            <v>2760</v>
          </cell>
          <cell r="L56">
            <v>1480</v>
          </cell>
          <cell r="N56">
            <v>440</v>
          </cell>
        </row>
        <row r="65">
          <cell r="D65">
            <v>1300</v>
          </cell>
          <cell r="F65">
            <v>940</v>
          </cell>
          <cell r="H65">
            <v>1080</v>
          </cell>
          <cell r="J65">
            <v>1000</v>
          </cell>
          <cell r="L65">
            <v>480</v>
          </cell>
          <cell r="N65">
            <v>240</v>
          </cell>
        </row>
        <row r="74">
          <cell r="D74">
            <v>780</v>
          </cell>
          <cell r="F74">
            <v>880</v>
          </cell>
          <cell r="H74">
            <v>1440</v>
          </cell>
          <cell r="J74">
            <v>1240</v>
          </cell>
          <cell r="L74">
            <v>480</v>
          </cell>
          <cell r="N74">
            <v>40</v>
          </cell>
        </row>
        <row r="83">
          <cell r="D83">
            <v>1320</v>
          </cell>
          <cell r="F83">
            <v>3080</v>
          </cell>
          <cell r="H83">
            <v>7760</v>
          </cell>
          <cell r="L83">
            <v>2600</v>
          </cell>
          <cell r="N83">
            <v>40</v>
          </cell>
        </row>
        <row r="92">
          <cell r="D92">
            <v>5020</v>
          </cell>
          <cell r="F92">
            <v>6000</v>
          </cell>
          <cell r="H92">
            <v>6920</v>
          </cell>
          <cell r="J92">
            <v>9280</v>
          </cell>
          <cell r="L92">
            <v>4280</v>
          </cell>
          <cell r="N92">
            <v>440</v>
          </cell>
        </row>
        <row r="101">
          <cell r="D101">
            <v>11600</v>
          </cell>
          <cell r="F101">
            <v>17140</v>
          </cell>
          <cell r="H101">
            <v>17000</v>
          </cell>
          <cell r="J101">
            <v>19300</v>
          </cell>
          <cell r="L101">
            <v>10640</v>
          </cell>
          <cell r="N101">
            <v>800</v>
          </cell>
        </row>
        <row r="110">
          <cell r="D110">
            <v>3640</v>
          </cell>
          <cell r="F110">
            <v>340</v>
          </cell>
          <cell r="H110">
            <v>960</v>
          </cell>
          <cell r="J110">
            <v>840</v>
          </cell>
          <cell r="L110">
            <v>120</v>
          </cell>
          <cell r="N110">
            <v>160</v>
          </cell>
        </row>
        <row r="119">
          <cell r="D119">
            <v>2560</v>
          </cell>
          <cell r="F119">
            <v>5780</v>
          </cell>
          <cell r="H119">
            <v>8620</v>
          </cell>
          <cell r="J119">
            <v>11900</v>
          </cell>
          <cell r="L119">
            <v>1960</v>
          </cell>
          <cell r="N119">
            <v>760</v>
          </cell>
          <cell r="R119">
            <v>1180</v>
          </cell>
          <cell r="T119">
            <v>1780</v>
          </cell>
          <cell r="V119">
            <v>4400</v>
          </cell>
          <cell r="X119">
            <v>3880</v>
          </cell>
          <cell r="Z119">
            <v>2040</v>
          </cell>
          <cell r="AB119">
            <v>160</v>
          </cell>
        </row>
        <row r="128">
          <cell r="D128">
            <v>6120</v>
          </cell>
          <cell r="F128">
            <v>13380</v>
          </cell>
          <cell r="H128">
            <v>16640</v>
          </cell>
          <cell r="J128">
            <v>20280</v>
          </cell>
          <cell r="L128">
            <v>5200</v>
          </cell>
          <cell r="N128">
            <v>1400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S11"/>
  <sheetViews>
    <sheetView tabSelected="1" zoomScale="90" zoomScaleNormal="90" workbookViewId="0">
      <selection activeCell="C11" sqref="C11"/>
    </sheetView>
  </sheetViews>
  <sheetFormatPr baseColWidth="10" defaultColWidth="11.453125" defaultRowHeight="12.5"/>
  <cols>
    <col min="1" max="1" width="23.81640625" style="202" customWidth="1"/>
    <col min="2" max="2" width="52.453125" style="202" bestFit="1" customWidth="1"/>
    <col min="3" max="3" width="16.453125" style="202" customWidth="1"/>
    <col min="4" max="4" width="15.453125" style="202" customWidth="1"/>
    <col min="5" max="5" width="13.81640625" style="202" customWidth="1"/>
    <col min="6" max="6" width="15" style="202" customWidth="1"/>
    <col min="7" max="7" width="15.1796875" style="202" customWidth="1"/>
    <col min="8" max="8" width="14.81640625" style="202" customWidth="1"/>
    <col min="9" max="10" width="14.54296875" style="202" customWidth="1"/>
    <col min="11" max="11" width="15" style="202" customWidth="1"/>
    <col min="12" max="12" width="13" style="202" customWidth="1"/>
    <col min="13" max="13" width="13.453125" style="202" customWidth="1"/>
    <col min="14" max="14" width="14.54296875" style="202" customWidth="1"/>
    <col min="15" max="15" width="13.54296875" style="202" customWidth="1"/>
    <col min="16" max="16" width="15.453125" style="202" customWidth="1"/>
    <col min="17" max="17" width="13.54296875" style="202" customWidth="1"/>
    <col min="18" max="18" width="15.1796875" style="334" customWidth="1"/>
    <col min="19" max="19" width="21.54296875" style="334" customWidth="1"/>
    <col min="20" max="20" width="14.54296875" style="334" customWidth="1"/>
    <col min="21" max="21" width="13.81640625" style="334" customWidth="1"/>
    <col min="22" max="16384" width="11.453125" style="334"/>
  </cols>
  <sheetData>
    <row r="1" spans="1:19" ht="12.75" customHeight="1">
      <c r="A1" s="366"/>
      <c r="B1" s="367"/>
      <c r="C1" s="368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59"/>
    </row>
    <row r="3" spans="1:19" ht="18">
      <c r="A3" s="588" t="s">
        <v>440</v>
      </c>
      <c r="B3" s="589"/>
      <c r="C3" s="539" t="s">
        <v>14</v>
      </c>
    </row>
    <row r="4" spans="1:19">
      <c r="A4" s="590" t="s">
        <v>275</v>
      </c>
      <c r="B4" s="540" t="s">
        <v>277</v>
      </c>
      <c r="C4" s="541">
        <f>'CÀLCUL QUOTES set25'!R10</f>
        <v>-2470430</v>
      </c>
    </row>
    <row r="5" spans="1:19">
      <c r="A5" s="590"/>
      <c r="B5" s="540" t="s">
        <v>381</v>
      </c>
      <c r="C5" s="541">
        <f>'CÀLCUL QUOTES set25'!R11</f>
        <v>-82018.276000000013</v>
      </c>
    </row>
    <row r="6" spans="1:19" ht="15.65" customHeight="1">
      <c r="A6" s="590"/>
      <c r="B6" s="540" t="s">
        <v>278</v>
      </c>
      <c r="C6" s="541">
        <f>'CÀLCUL QUOTES set25'!R12+'CÀLCUL QUOTES set25'!R13</f>
        <v>-135699.66000000003</v>
      </c>
    </row>
    <row r="7" spans="1:19" ht="15.65" customHeight="1">
      <c r="A7" s="590"/>
      <c r="B7" s="540" t="s">
        <v>441</v>
      </c>
      <c r="C7" s="541">
        <f>'CÀLCUL QUOTES set25'!R14</f>
        <v>-130000</v>
      </c>
    </row>
    <row r="8" spans="1:19">
      <c r="A8" s="590"/>
      <c r="B8" s="540" t="s">
        <v>279</v>
      </c>
      <c r="C8" s="541">
        <f>'CÀLCUL QUOTES set25'!R15</f>
        <v>-146767.96239999999</v>
      </c>
    </row>
    <row r="9" spans="1:19">
      <c r="A9" s="590"/>
      <c r="B9" s="540" t="s">
        <v>280</v>
      </c>
      <c r="C9" s="541">
        <f>'CÀLCUL QUOTES set25'!R16</f>
        <v>-602550.9</v>
      </c>
    </row>
    <row r="10" spans="1:19">
      <c r="A10" s="590"/>
      <c r="B10" s="540" t="s">
        <v>302</v>
      </c>
      <c r="C10" s="541">
        <f>'CÀLCUL QUOTES set25'!R17</f>
        <v>-96998.571700646062</v>
      </c>
    </row>
    <row r="11" spans="1:19" ht="13">
      <c r="A11" s="590"/>
      <c r="B11" s="542" t="s">
        <v>276</v>
      </c>
      <c r="C11" s="543">
        <f>SUM(C4:C10)</f>
        <v>-3664465.3701006463</v>
      </c>
    </row>
  </sheetData>
  <mergeCells count="2">
    <mergeCell ref="A3:B3"/>
    <mergeCell ref="A4:A11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64"/>
  <sheetViews>
    <sheetView topLeftCell="A46" zoomScale="90" zoomScaleNormal="90" workbookViewId="0">
      <pane xSplit="2" ySplit="1" topLeftCell="C47" activePane="bottomRight" state="frozen"/>
      <selection activeCell="C78" sqref="C78"/>
      <selection pane="topRight" activeCell="C78" sqref="C78"/>
      <selection pane="bottomLeft" activeCell="C78" sqref="C78"/>
      <selection pane="bottomRight" activeCell="C78" sqref="C78"/>
    </sheetView>
  </sheetViews>
  <sheetFormatPr baseColWidth="10" defaultRowHeight="12.5"/>
  <cols>
    <col min="1" max="1" width="6.54296875" customWidth="1"/>
    <col min="2" max="2" width="57.1796875" customWidth="1"/>
    <col min="3" max="3" width="16.453125" customWidth="1"/>
    <col min="4" max="4" width="15.453125" customWidth="1"/>
    <col min="5" max="5" width="13.81640625" customWidth="1"/>
    <col min="6" max="6" width="15" customWidth="1"/>
    <col min="7" max="7" width="15.1796875" customWidth="1"/>
    <col min="8" max="8" width="14.81640625" customWidth="1"/>
    <col min="9" max="9" width="14.54296875" bestFit="1" customWidth="1"/>
    <col min="10" max="10" width="14.54296875" customWidth="1"/>
    <col min="11" max="11" width="13" customWidth="1"/>
    <col min="12" max="12" width="13.453125" customWidth="1"/>
    <col min="13" max="13" width="14.54296875" customWidth="1"/>
    <col min="14" max="14" width="13.54296875" customWidth="1"/>
    <col min="15" max="15" width="15.453125" customWidth="1"/>
    <col min="16" max="16" width="13.54296875" bestFit="1" customWidth="1"/>
    <col min="17" max="17" width="15.1796875" customWidth="1"/>
    <col min="18" max="18" width="21.54296875" customWidth="1"/>
    <col min="19" max="19" width="14.54296875" customWidth="1"/>
    <col min="20" max="20" width="13.81640625" customWidth="1"/>
    <col min="21" max="21" width="13.1796875" customWidth="1"/>
    <col min="22" max="22" width="13.453125" customWidth="1"/>
    <col min="23" max="23" width="13" bestFit="1" customWidth="1"/>
  </cols>
  <sheetData>
    <row r="1" spans="3:24" ht="15" hidden="1" customHeight="1">
      <c r="D1" s="642" t="s">
        <v>113</v>
      </c>
      <c r="E1" s="642"/>
      <c r="F1" s="642"/>
      <c r="G1" s="642"/>
      <c r="O1">
        <f>511/365</f>
        <v>1.4</v>
      </c>
    </row>
    <row r="2" spans="3:24" ht="15" hidden="1" customHeight="1">
      <c r="D2" s="14" t="s">
        <v>112</v>
      </c>
      <c r="E2" s="14" t="s">
        <v>112</v>
      </c>
      <c r="F2" s="14" t="s">
        <v>112</v>
      </c>
      <c r="G2" s="14" t="s">
        <v>112</v>
      </c>
      <c r="H2" s="74" t="s">
        <v>114</v>
      </c>
      <c r="I2" s="643" t="s">
        <v>60</v>
      </c>
      <c r="J2" s="644"/>
      <c r="K2" s="645"/>
      <c r="L2" s="14" t="s">
        <v>112</v>
      </c>
      <c r="M2" s="14"/>
      <c r="N2" s="14"/>
      <c r="R2" t="s">
        <v>66</v>
      </c>
    </row>
    <row r="3" spans="3:24" ht="33.75" hidden="1" customHeight="1">
      <c r="C3" s="4" t="s">
        <v>59</v>
      </c>
      <c r="D3" s="15" t="s">
        <v>15</v>
      </c>
      <c r="E3" s="15" t="s">
        <v>16</v>
      </c>
      <c r="F3" s="15" t="s">
        <v>17</v>
      </c>
      <c r="G3" s="15" t="s">
        <v>22</v>
      </c>
      <c r="H3" s="15" t="s">
        <v>23</v>
      </c>
      <c r="I3" s="36" t="s">
        <v>56</v>
      </c>
      <c r="J3" s="36" t="s">
        <v>57</v>
      </c>
      <c r="K3" s="36" t="s">
        <v>50</v>
      </c>
      <c r="L3" s="15" t="s">
        <v>24</v>
      </c>
      <c r="M3" s="15" t="s">
        <v>14</v>
      </c>
      <c r="N3" s="16" t="s">
        <v>25</v>
      </c>
      <c r="O3" s="40" t="s">
        <v>67</v>
      </c>
      <c r="P3" s="40" t="s">
        <v>128</v>
      </c>
      <c r="Q3" t="s">
        <v>68</v>
      </c>
      <c r="R3" t="s">
        <v>62</v>
      </c>
      <c r="S3" t="s">
        <v>63</v>
      </c>
      <c r="U3" s="15" t="s">
        <v>65</v>
      </c>
    </row>
    <row r="4" spans="3:24" ht="12.75" hidden="1" customHeight="1">
      <c r="C4" s="17" t="s">
        <v>0</v>
      </c>
      <c r="D4" s="80">
        <v>108.57818181818183</v>
      </c>
      <c r="E4" s="80">
        <v>37.399636363636368</v>
      </c>
      <c r="F4" s="80">
        <v>27.587999999999997</v>
      </c>
      <c r="G4" s="80">
        <v>31.001708686755759</v>
      </c>
      <c r="H4" s="81">
        <v>175</v>
      </c>
      <c r="I4" s="80">
        <v>11.465</v>
      </c>
      <c r="J4" s="80">
        <v>4.056</v>
      </c>
      <c r="K4" s="30"/>
      <c r="L4" s="18">
        <v>52.210909090909091</v>
      </c>
      <c r="M4" s="18">
        <f>SUM(D4:L4)</f>
        <v>447.29943595948299</v>
      </c>
      <c r="N4" s="32">
        <f t="shared" ref="N4:N18" si="0">SUM(D4:K4)/M4</f>
        <v>0.88327526284732805</v>
      </c>
      <c r="O4" s="37">
        <f t="shared" ref="O4:O18" si="1">R4*1000/S4/365</f>
        <v>1.5221626126360748</v>
      </c>
      <c r="P4" s="37">
        <f t="shared" ref="P4:P18" si="2">M4*1000/U4/365</f>
        <v>1.5711255214593711</v>
      </c>
      <c r="Q4">
        <f t="shared" ref="Q4:Q17" si="3">(P4-O4)/O4</f>
        <v>3.2166674188970248E-2</v>
      </c>
      <c r="R4" t="s">
        <v>64</v>
      </c>
      <c r="S4">
        <v>789</v>
      </c>
      <c r="U4" s="18">
        <v>780</v>
      </c>
    </row>
    <row r="5" spans="3:24" ht="15" hidden="1" customHeight="1">
      <c r="C5" s="17" t="s">
        <v>1</v>
      </c>
      <c r="D5" s="80">
        <v>512.34872727272727</v>
      </c>
      <c r="E5" s="80">
        <v>189.8607272727273</v>
      </c>
      <c r="F5" s="80">
        <v>138.2738181818182</v>
      </c>
      <c r="G5" s="80">
        <v>119.64643951291725</v>
      </c>
      <c r="H5" s="80">
        <v>56.948182266704194</v>
      </c>
      <c r="I5" s="80">
        <v>50.390999999999998</v>
      </c>
      <c r="J5" s="80">
        <v>17.555</v>
      </c>
      <c r="K5" s="30"/>
      <c r="L5" s="18">
        <v>303.25963636363645</v>
      </c>
      <c r="M5" s="18">
        <f t="shared" ref="M5:M16" si="4">SUM(D5:L5)</f>
        <v>1388.2835308705307</v>
      </c>
      <c r="N5" s="32">
        <f t="shared" si="0"/>
        <v>0.78155785211002549</v>
      </c>
      <c r="O5" s="37">
        <f t="shared" si="1"/>
        <v>1.3028381496361554</v>
      </c>
      <c r="P5" s="37">
        <f t="shared" si="2"/>
        <v>0.7376874559606208</v>
      </c>
      <c r="Q5">
        <f t="shared" si="3"/>
        <v>-0.43378426847061907</v>
      </c>
      <c r="R5">
        <v>2422.38</v>
      </c>
      <c r="S5">
        <v>5094</v>
      </c>
      <c r="U5" s="18">
        <v>5156</v>
      </c>
      <c r="X5" s="25" t="s">
        <v>61</v>
      </c>
    </row>
    <row r="6" spans="3:24" ht="12.75" hidden="1" customHeight="1">
      <c r="C6" s="17" t="s">
        <v>2</v>
      </c>
      <c r="D6" s="80">
        <v>194.64654545454547</v>
      </c>
      <c r="E6" s="80">
        <v>66.98181818181817</v>
      </c>
      <c r="F6" s="80">
        <v>40.470545454545444</v>
      </c>
      <c r="G6" s="80">
        <v>37.25642197918728</v>
      </c>
      <c r="H6" s="80">
        <v>32.79466500429313</v>
      </c>
      <c r="I6" s="80">
        <v>33.658999999999999</v>
      </c>
      <c r="J6" s="80">
        <v>5.1669999999999998</v>
      </c>
      <c r="K6" s="18">
        <v>164.62</v>
      </c>
      <c r="L6" s="18">
        <v>48.614181818181812</v>
      </c>
      <c r="M6" s="18">
        <f t="shared" si="4"/>
        <v>624.21017789257121</v>
      </c>
      <c r="N6" s="32">
        <f t="shared" si="0"/>
        <v>0.92211888953443422</v>
      </c>
      <c r="O6" s="37">
        <f t="shared" si="1"/>
        <v>1.110077188272264</v>
      </c>
      <c r="P6" s="37">
        <f t="shared" si="2"/>
        <v>0.94223959831325133</v>
      </c>
      <c r="Q6">
        <f t="shared" si="3"/>
        <v>-0.15119452208565504</v>
      </c>
      <c r="R6">
        <v>727.7</v>
      </c>
      <c r="S6">
        <v>1796</v>
      </c>
      <c r="U6" s="18">
        <v>1815</v>
      </c>
    </row>
    <row r="7" spans="3:24" ht="12.75" hidden="1" customHeight="1">
      <c r="C7" s="17" t="s">
        <v>12</v>
      </c>
      <c r="D7" s="80">
        <v>72.370909090909095</v>
      </c>
      <c r="E7" s="80">
        <v>24.488727272727274</v>
      </c>
      <c r="F7" s="80">
        <v>18.078545454545452</v>
      </c>
      <c r="G7" s="80">
        <v>19.44480808179118</v>
      </c>
      <c r="H7" s="80">
        <v>10.6</v>
      </c>
      <c r="I7" s="80">
        <v>6.6879999999999997</v>
      </c>
      <c r="J7" s="80">
        <v>3.2450000000000001</v>
      </c>
      <c r="K7" s="18">
        <v>37.43</v>
      </c>
      <c r="L7" s="18">
        <v>30.452727272727273</v>
      </c>
      <c r="M7" s="18">
        <f t="shared" si="4"/>
        <v>222.79871717270026</v>
      </c>
      <c r="N7" s="32">
        <f t="shared" si="0"/>
        <v>0.86331731322706784</v>
      </c>
      <c r="O7" s="37">
        <f t="shared" si="1"/>
        <v>1.5522372715824102</v>
      </c>
      <c r="P7" s="37">
        <f t="shared" si="2"/>
        <v>1.1409484940350803</v>
      </c>
      <c r="Q7">
        <f t="shared" si="3"/>
        <v>-0.26496514745329264</v>
      </c>
      <c r="R7">
        <v>301.98</v>
      </c>
      <c r="S7">
        <v>533</v>
      </c>
      <c r="U7" s="18">
        <v>535</v>
      </c>
    </row>
    <row r="8" spans="3:24" ht="12.75" hidden="1" customHeight="1">
      <c r="C8" s="17" t="s">
        <v>3</v>
      </c>
      <c r="D8" s="80">
        <v>98.091272727272724</v>
      </c>
      <c r="E8" s="80">
        <v>37.646181818181816</v>
      </c>
      <c r="F8" s="80">
        <v>24.679636363636362</v>
      </c>
      <c r="G8" s="80">
        <v>24.338251611077048</v>
      </c>
      <c r="H8" s="80">
        <v>83.153961063811607</v>
      </c>
      <c r="I8" s="80">
        <v>8.4809999999999999</v>
      </c>
      <c r="J8" s="80">
        <v>2.4123600000000001</v>
      </c>
      <c r="K8" s="18">
        <v>13.95</v>
      </c>
      <c r="L8" s="18">
        <v>37.18690909090909</v>
      </c>
      <c r="M8" s="18">
        <f t="shared" si="4"/>
        <v>329.93957267488861</v>
      </c>
      <c r="N8" s="32">
        <f t="shared" si="0"/>
        <v>0.88729175833796758</v>
      </c>
      <c r="O8" s="37">
        <f t="shared" si="1"/>
        <v>1.0885413000323811</v>
      </c>
      <c r="P8" s="37">
        <f t="shared" si="2"/>
        <v>0.90484888360933147</v>
      </c>
      <c r="Q8">
        <f t="shared" si="3"/>
        <v>-0.16875098484328094</v>
      </c>
      <c r="R8">
        <v>386.59</v>
      </c>
      <c r="S8">
        <v>973</v>
      </c>
      <c r="U8" s="18">
        <v>999</v>
      </c>
    </row>
    <row r="9" spans="3:24" ht="12.75" hidden="1" customHeight="1">
      <c r="C9" s="17" t="s">
        <v>4</v>
      </c>
      <c r="D9" s="80">
        <v>135.03381818181819</v>
      </c>
      <c r="E9" s="80">
        <v>46.80981818181818</v>
      </c>
      <c r="F9" s="80">
        <v>28.746545454545455</v>
      </c>
      <c r="G9" s="80">
        <v>26.277667502297692</v>
      </c>
      <c r="H9" s="80">
        <v>26.713434220761545</v>
      </c>
      <c r="I9" s="80">
        <v>9.7899999999999991</v>
      </c>
      <c r="J9" s="80">
        <v>3.2827699999999989</v>
      </c>
      <c r="K9" s="18">
        <v>40.450000000000003</v>
      </c>
      <c r="L9" s="18">
        <v>37.896000000000001</v>
      </c>
      <c r="M9" s="18">
        <f t="shared" si="4"/>
        <v>355.00005354124107</v>
      </c>
      <c r="N9" s="32">
        <f t="shared" si="0"/>
        <v>0.89325072032532082</v>
      </c>
      <c r="O9" s="37">
        <f t="shared" si="1"/>
        <v>1.24441365802391</v>
      </c>
      <c r="P9" s="37">
        <f t="shared" si="2"/>
        <v>0.86071051895076034</v>
      </c>
      <c r="Q9">
        <f t="shared" si="3"/>
        <v>-0.30834050767528404</v>
      </c>
      <c r="R9">
        <v>520.98</v>
      </c>
      <c r="S9">
        <v>1147</v>
      </c>
      <c r="U9" s="18">
        <v>1130</v>
      </c>
    </row>
    <row r="10" spans="3:24" ht="12.75" hidden="1" customHeight="1">
      <c r="C10" s="17" t="s">
        <v>5</v>
      </c>
      <c r="D10" s="80">
        <v>267.86290909090911</v>
      </c>
      <c r="E10" s="80">
        <v>82.666909090909087</v>
      </c>
      <c r="F10" s="80">
        <v>64.944000000000003</v>
      </c>
      <c r="G10" s="80">
        <v>59.907237032379506</v>
      </c>
      <c r="H10" s="80">
        <v>51.9103413966752</v>
      </c>
      <c r="I10" s="80">
        <v>37.427</v>
      </c>
      <c r="J10" s="80">
        <v>9.7721599999999977</v>
      </c>
      <c r="K10" s="18">
        <v>12.44</v>
      </c>
      <c r="L10" s="18">
        <v>105.34363636363636</v>
      </c>
      <c r="M10" s="18">
        <f t="shared" si="4"/>
        <v>692.27419297450933</v>
      </c>
      <c r="N10" s="32">
        <f t="shared" si="0"/>
        <v>0.84782960648727335</v>
      </c>
      <c r="O10" s="37">
        <f t="shared" si="1"/>
        <v>1.1969660071029935</v>
      </c>
      <c r="P10" s="37">
        <f t="shared" si="2"/>
        <v>0.70428578707304001</v>
      </c>
      <c r="Q10">
        <f t="shared" si="3"/>
        <v>-0.41160752862345956</v>
      </c>
      <c r="R10">
        <v>1179.6099999999999</v>
      </c>
      <c r="S10">
        <v>2700</v>
      </c>
      <c r="U10" s="18">
        <v>2693</v>
      </c>
    </row>
    <row r="11" spans="3:24" ht="12.75" hidden="1" customHeight="1">
      <c r="C11" s="17" t="s">
        <v>6</v>
      </c>
      <c r="D11" s="80">
        <v>41.303999999999995</v>
      </c>
      <c r="E11" s="80">
        <v>14.247272727272726</v>
      </c>
      <c r="F11" s="80">
        <v>8.2679999999999989</v>
      </c>
      <c r="G11" s="80">
        <v>7.0116493423360762</v>
      </c>
      <c r="H11" s="80"/>
      <c r="I11" s="80">
        <v>6.0739999999999998</v>
      </c>
      <c r="J11" s="80"/>
      <c r="K11" s="18">
        <v>15.03</v>
      </c>
      <c r="L11" s="18">
        <v>7.6363636363636385</v>
      </c>
      <c r="M11" s="18">
        <f t="shared" si="4"/>
        <v>99.571285705972429</v>
      </c>
      <c r="N11" s="32">
        <f t="shared" si="0"/>
        <v>0.92330757223610305</v>
      </c>
      <c r="O11" s="37">
        <f t="shared" si="1"/>
        <v>1.2482091240417243</v>
      </c>
      <c r="P11" s="37">
        <f t="shared" si="2"/>
        <v>0.8167606078744355</v>
      </c>
      <c r="Q11">
        <f t="shared" si="3"/>
        <v>-0.34565403173007625</v>
      </c>
      <c r="R11">
        <v>148.97999999999999</v>
      </c>
      <c r="S11">
        <v>327</v>
      </c>
      <c r="U11" s="18">
        <v>334</v>
      </c>
    </row>
    <row r="12" spans="3:24" ht="12.75" hidden="1" customHeight="1">
      <c r="C12" s="17" t="s">
        <v>7</v>
      </c>
      <c r="D12" s="80">
        <v>66.910909090909087</v>
      </c>
      <c r="E12" s="80">
        <v>24.190909090909091</v>
      </c>
      <c r="F12" s="80">
        <v>17.426181818181817</v>
      </c>
      <c r="G12" s="80">
        <v>13.193480988623591</v>
      </c>
      <c r="H12" s="80">
        <f>1.72*12</f>
        <v>20.64</v>
      </c>
      <c r="I12" s="80">
        <v>7.8479999999999999</v>
      </c>
      <c r="J12" s="80">
        <v>1.1200000000000001</v>
      </c>
      <c r="K12" s="18">
        <v>9.56</v>
      </c>
      <c r="L12" s="18">
        <v>14.527636363636365</v>
      </c>
      <c r="M12" s="18">
        <f t="shared" si="4"/>
        <v>175.41711735225996</v>
      </c>
      <c r="N12" s="32">
        <f t="shared" si="0"/>
        <v>0.91718233326988829</v>
      </c>
      <c r="O12" s="37">
        <f t="shared" si="1"/>
        <v>1.1115781572527679</v>
      </c>
      <c r="P12" s="37">
        <f t="shared" si="2"/>
        <v>0.65744848435155434</v>
      </c>
      <c r="Q12">
        <f t="shared" si="3"/>
        <v>-0.40854497719133076</v>
      </c>
      <c r="R12">
        <v>296.18</v>
      </c>
      <c r="S12">
        <v>730</v>
      </c>
      <c r="U12" s="18">
        <v>731</v>
      </c>
    </row>
    <row r="13" spans="3:24" ht="12.75" hidden="1" customHeight="1">
      <c r="C13" s="17" t="s">
        <v>8</v>
      </c>
      <c r="D13" s="80">
        <v>341.52000000000004</v>
      </c>
      <c r="E13" s="80">
        <v>128.23745454545454</v>
      </c>
      <c r="F13" s="80">
        <v>78.765818181818176</v>
      </c>
      <c r="G13" s="80">
        <v>66.518884435703967</v>
      </c>
      <c r="H13" s="80">
        <v>54.994590264260829</v>
      </c>
      <c r="I13" s="80">
        <v>50.320999999999998</v>
      </c>
      <c r="J13" s="80">
        <v>18.23695</v>
      </c>
      <c r="K13" s="18">
        <v>84.23</v>
      </c>
      <c r="L13" s="18">
        <v>111.65781818181819</v>
      </c>
      <c r="M13" s="18">
        <f t="shared" si="4"/>
        <v>934.48251560905578</v>
      </c>
      <c r="N13" s="32">
        <f t="shared" si="0"/>
        <v>0.88051374282905193</v>
      </c>
      <c r="O13" s="37">
        <f t="shared" si="1"/>
        <v>1.1658969476496335</v>
      </c>
      <c r="P13" s="37">
        <f t="shared" si="2"/>
        <v>0.65545982339011688</v>
      </c>
      <c r="Q13">
        <f t="shared" si="3"/>
        <v>-0.43780638184920379</v>
      </c>
      <c r="R13">
        <v>1640.93</v>
      </c>
      <c r="S13">
        <v>3856</v>
      </c>
      <c r="U13" s="18">
        <v>3906</v>
      </c>
    </row>
    <row r="14" spans="3:24" ht="12.75" hidden="1" customHeight="1">
      <c r="C14" s="17" t="s">
        <v>9</v>
      </c>
      <c r="D14" s="80">
        <v>380.49818181818176</v>
      </c>
      <c r="E14" s="80">
        <v>135.97854545454547</v>
      </c>
      <c r="F14" s="80">
        <v>102.70472727272725</v>
      </c>
      <c r="G14" s="80">
        <v>99.733299714928279</v>
      </c>
      <c r="H14" s="80">
        <v>29.37</v>
      </c>
      <c r="I14" s="80"/>
      <c r="J14" s="80">
        <v>1.3109999999999999</v>
      </c>
      <c r="K14" s="18">
        <v>323.94</v>
      </c>
      <c r="L14" s="18">
        <v>117.31963636363636</v>
      </c>
      <c r="M14" s="18">
        <f t="shared" si="4"/>
        <v>1190.8553906240193</v>
      </c>
      <c r="N14" s="32">
        <f t="shared" si="0"/>
        <v>0.9014828859260906</v>
      </c>
      <c r="O14" s="37">
        <f t="shared" si="1"/>
        <v>1.3283505647441238</v>
      </c>
      <c r="P14" s="37">
        <f t="shared" si="2"/>
        <v>0.79868237663621966</v>
      </c>
      <c r="Q14">
        <f t="shared" si="3"/>
        <v>-0.3987412676787867</v>
      </c>
      <c r="R14">
        <v>1945.21</v>
      </c>
      <c r="S14">
        <v>4012</v>
      </c>
      <c r="U14" s="18">
        <v>4085</v>
      </c>
    </row>
    <row r="15" spans="3:24" ht="12.75" hidden="1" customHeight="1">
      <c r="C15" s="17" t="s">
        <v>10</v>
      </c>
      <c r="D15" s="80">
        <v>59.131636363636375</v>
      </c>
      <c r="E15" s="80">
        <v>20.378181818181819</v>
      </c>
      <c r="F15" s="80">
        <v>11.827636363636362</v>
      </c>
      <c r="G15" s="80">
        <v>10.031346197027338</v>
      </c>
      <c r="H15" s="80"/>
      <c r="I15" s="80">
        <v>7.0179999999999998</v>
      </c>
      <c r="J15" s="80">
        <v>0.72175999999999985</v>
      </c>
      <c r="K15" s="18">
        <v>18.57</v>
      </c>
      <c r="L15" s="18">
        <v>11.098909090909093</v>
      </c>
      <c r="M15" s="18">
        <f t="shared" si="4"/>
        <v>138.777469833391</v>
      </c>
      <c r="N15" s="32">
        <f t="shared" si="0"/>
        <v>0.92002369617896995</v>
      </c>
      <c r="O15" s="37">
        <f t="shared" si="1"/>
        <v>0.62658245153528558</v>
      </c>
      <c r="P15" s="37">
        <f t="shared" si="2"/>
        <v>0.73827620605607658</v>
      </c>
      <c r="Q15">
        <f t="shared" si="3"/>
        <v>0.17825867010337273</v>
      </c>
      <c r="R15">
        <v>114.58</v>
      </c>
      <c r="S15">
        <v>501</v>
      </c>
      <c r="U15" s="18">
        <v>515</v>
      </c>
    </row>
    <row r="16" spans="3:24" ht="12.75" hidden="1" customHeight="1">
      <c r="C16" s="17" t="s">
        <v>54</v>
      </c>
      <c r="D16" s="80">
        <v>309.93163636363636</v>
      </c>
      <c r="E16" s="80">
        <v>128.55818181818182</v>
      </c>
      <c r="F16" s="80">
        <v>86.070545454545439</v>
      </c>
      <c r="G16" s="80">
        <v>90.691398670532649</v>
      </c>
      <c r="H16" s="80">
        <f>93.2402896085801+30.3591861164088</f>
        <v>123.59947572498891</v>
      </c>
      <c r="I16" s="80">
        <f>24.8355+8.2785</f>
        <v>33.113999999999997</v>
      </c>
      <c r="J16" s="80"/>
      <c r="K16" s="18">
        <v>164.58</v>
      </c>
      <c r="L16" s="18">
        <v>106.38545454545454</v>
      </c>
      <c r="M16" s="18">
        <f t="shared" si="4"/>
        <v>1042.9306925773399</v>
      </c>
      <c r="N16" s="32">
        <f t="shared" si="0"/>
        <v>0.89799374464419124</v>
      </c>
      <c r="O16" s="37">
        <f t="shared" si="1"/>
        <v>1.3545260091931006</v>
      </c>
      <c r="P16" s="37">
        <f t="shared" si="2"/>
        <v>0.78866805498912185</v>
      </c>
      <c r="Q16">
        <f t="shared" si="3"/>
        <v>-0.41775348008346019</v>
      </c>
      <c r="R16">
        <v>1785.78</v>
      </c>
      <c r="S16">
        <v>3612</v>
      </c>
      <c r="U16" s="18">
        <v>3623</v>
      </c>
    </row>
    <row r="17" spans="3:24" ht="12.75" hidden="1" customHeight="1">
      <c r="C17" s="17" t="s">
        <v>13</v>
      </c>
      <c r="D17" s="80">
        <v>498.39490909090898</v>
      </c>
      <c r="E17" s="80">
        <v>192.99927272727274</v>
      </c>
      <c r="F17" s="80">
        <v>123.56836363636361</v>
      </c>
      <c r="G17" s="80">
        <v>106.46423145763629</v>
      </c>
      <c r="H17" s="80">
        <v>45.468660194653992</v>
      </c>
      <c r="I17" s="80"/>
      <c r="J17" s="80">
        <v>22.763999999999999</v>
      </c>
      <c r="K17" s="18">
        <v>328.02</v>
      </c>
      <c r="L17" s="18">
        <v>195.81381818181816</v>
      </c>
      <c r="M17" s="18">
        <f>SUM(D17:L17)</f>
        <v>1513.4932552886539</v>
      </c>
      <c r="N17" s="32">
        <f t="shared" si="0"/>
        <v>0.87062128126598592</v>
      </c>
      <c r="O17" s="37">
        <f t="shared" si="1"/>
        <v>1.2059717752178136</v>
      </c>
      <c r="P17" s="37">
        <f t="shared" si="2"/>
        <v>0.78325592440584269</v>
      </c>
      <c r="Q17">
        <f t="shared" si="3"/>
        <v>-0.35051885914628739</v>
      </c>
      <c r="R17">
        <v>2302.58</v>
      </c>
      <c r="S17">
        <v>5231</v>
      </c>
      <c r="U17" s="18">
        <v>5294</v>
      </c>
    </row>
    <row r="18" spans="3:24" ht="12.75" hidden="1" customHeight="1">
      <c r="C18" s="7" t="s">
        <v>14</v>
      </c>
      <c r="D18" s="82">
        <f>SUM(D4:D17)</f>
        <v>3086.6236363636367</v>
      </c>
      <c r="E18" s="82">
        <f t="shared" ref="E18:M18" si="5">SUM(E4:E17)</f>
        <v>1130.4436363636364</v>
      </c>
      <c r="F18" s="19">
        <f t="shared" si="5"/>
        <v>771.41236363636358</v>
      </c>
      <c r="G18" s="19">
        <f t="shared" si="5"/>
        <v>711.5168252131939</v>
      </c>
      <c r="H18" s="19">
        <f t="shared" si="5"/>
        <v>711.19331013614942</v>
      </c>
      <c r="I18" s="19">
        <f t="shared" si="5"/>
        <v>262.27600000000001</v>
      </c>
      <c r="J18" s="19">
        <f t="shared" si="5"/>
        <v>89.644000000000005</v>
      </c>
      <c r="K18" s="82">
        <f t="shared" si="5"/>
        <v>1212.8200000000002</v>
      </c>
      <c r="L18" s="82">
        <f t="shared" si="5"/>
        <v>1179.4036363636365</v>
      </c>
      <c r="M18" s="82">
        <f t="shared" si="5"/>
        <v>9155.3334080766144</v>
      </c>
      <c r="N18" s="33">
        <f t="shared" si="0"/>
        <v>0.87117851597592377</v>
      </c>
      <c r="O18" s="39">
        <f t="shared" si="1"/>
        <v>1.2055704815768065</v>
      </c>
      <c r="P18" s="39">
        <f t="shared" si="2"/>
        <v>0.79386964260055581</v>
      </c>
      <c r="Q18">
        <f>(P18-O18)/O18</f>
        <v>-0.34149877196542933</v>
      </c>
      <c r="R18">
        <f>SUM(R4:R17)</f>
        <v>13773.480000000001</v>
      </c>
      <c r="S18">
        <f>SUM(S4:S17)</f>
        <v>31301</v>
      </c>
      <c r="U18" s="19">
        <f>SUM(U4:U17)</f>
        <v>31596</v>
      </c>
    </row>
    <row r="19" spans="3:24" ht="15" hidden="1" customHeight="1">
      <c r="C19" s="14"/>
      <c r="D19" s="34">
        <f t="shared" ref="D19:L19" si="6">D18/$M$18</f>
        <v>0.33713940266126102</v>
      </c>
      <c r="E19" s="34">
        <f t="shared" si="6"/>
        <v>0.12347378145359363</v>
      </c>
      <c r="F19" s="34">
        <f t="shared" si="6"/>
        <v>8.4258249181383416E-2</v>
      </c>
      <c r="G19" s="34">
        <f t="shared" si="6"/>
        <v>7.7716102024805667E-2</v>
      </c>
      <c r="H19" s="34">
        <f t="shared" si="6"/>
        <v>7.7680765782789721E-2</v>
      </c>
      <c r="I19" s="34">
        <f t="shared" si="6"/>
        <v>2.864734557549007E-2</v>
      </c>
      <c r="J19" s="34">
        <f t="shared" si="6"/>
        <v>9.7914511688802323E-3</v>
      </c>
      <c r="K19" s="34">
        <f t="shared" si="6"/>
        <v>0.13247141812771993</v>
      </c>
      <c r="L19" s="34">
        <f t="shared" si="6"/>
        <v>0.12882148402407662</v>
      </c>
      <c r="M19" s="34">
        <f>SUM(D19:L19)</f>
        <v>1.0000000000000002</v>
      </c>
      <c r="N19" s="14"/>
    </row>
    <row r="20" spans="3:24" ht="12.75" hidden="1" customHeight="1">
      <c r="L20" s="1"/>
    </row>
    <row r="21" spans="3:24" ht="12.75" hidden="1" customHeight="1">
      <c r="C21" s="17"/>
      <c r="D21" s="26"/>
      <c r="F21" s="76"/>
      <c r="G21" s="76"/>
    </row>
    <row r="22" spans="3:24" ht="12.75" hidden="1" customHeight="1">
      <c r="C22" s="17" t="s">
        <v>111</v>
      </c>
      <c r="D22" s="21">
        <v>92.29</v>
      </c>
      <c r="E22" s="24"/>
      <c r="F22" s="76"/>
      <c r="G22" s="77"/>
    </row>
    <row r="23" spans="3:24" ht="12.75" hidden="1" customHeight="1">
      <c r="C23" s="17" t="s">
        <v>26</v>
      </c>
      <c r="D23" s="65" t="s">
        <v>122</v>
      </c>
      <c r="E23" s="24"/>
      <c r="F23" s="76"/>
      <c r="G23" s="77"/>
    </row>
    <row r="24" spans="3:24" ht="12.75" hidden="1" customHeight="1">
      <c r="F24" s="76"/>
      <c r="G24" s="77"/>
      <c r="H24" s="1"/>
      <c r="I24" s="1"/>
      <c r="J24" s="1"/>
      <c r="K24" s="1"/>
      <c r="L24" s="1"/>
      <c r="M24" s="1"/>
      <c r="N24" s="1"/>
      <c r="O24" s="1"/>
      <c r="P24" s="1"/>
      <c r="U24" s="1"/>
      <c r="V24" s="1"/>
      <c r="W24" s="1"/>
      <c r="X24" s="1"/>
    </row>
    <row r="25" spans="3:24" ht="12.75" hidden="1" customHeight="1">
      <c r="F25" s="76"/>
      <c r="G25" s="77"/>
      <c r="H25" s="647"/>
      <c r="I25" s="648"/>
      <c r="J25" s="322"/>
      <c r="K25" s="123"/>
      <c r="L25" s="648"/>
      <c r="M25" s="648"/>
      <c r="N25" s="1"/>
      <c r="O25" s="1"/>
      <c r="P25" s="1"/>
      <c r="U25" s="1"/>
      <c r="V25" s="1"/>
      <c r="W25" s="1"/>
      <c r="X25" s="1"/>
    </row>
    <row r="26" spans="3:24" ht="12.75" hidden="1" customHeight="1">
      <c r="G26" s="595" t="s">
        <v>121</v>
      </c>
      <c r="H26" s="595"/>
      <c r="I26" s="595"/>
      <c r="J26" s="123"/>
      <c r="K26" s="123"/>
      <c r="L26" s="123"/>
      <c r="M26" s="124"/>
      <c r="N26" s="1"/>
      <c r="O26" s="1"/>
      <c r="P26" s="1"/>
      <c r="U26" s="1"/>
      <c r="V26" s="1"/>
      <c r="W26" s="1"/>
      <c r="X26" s="1"/>
    </row>
    <row r="27" spans="3:24" ht="12.75" hidden="1" customHeight="1">
      <c r="D27" s="15" t="s">
        <v>29</v>
      </c>
      <c r="E27" s="15" t="s">
        <v>30</v>
      </c>
      <c r="F27" s="62" t="s">
        <v>27</v>
      </c>
      <c r="G27" s="62" t="s">
        <v>116</v>
      </c>
      <c r="H27" s="62" t="s">
        <v>117</v>
      </c>
      <c r="I27" s="62" t="s">
        <v>118</v>
      </c>
      <c r="J27" s="75" t="s">
        <v>119</v>
      </c>
      <c r="K27" s="123"/>
      <c r="L27" s="75" t="s">
        <v>123</v>
      </c>
      <c r="M27" s="123"/>
      <c r="N27" s="123"/>
      <c r="O27" s="123"/>
      <c r="P27" s="123"/>
      <c r="U27" s="1"/>
      <c r="V27" s="1"/>
      <c r="W27" s="1"/>
      <c r="X27" s="1"/>
    </row>
    <row r="28" spans="3:24" ht="12.75" hidden="1" customHeight="1">
      <c r="C28" s="17" t="s">
        <v>0</v>
      </c>
      <c r="D28" s="6">
        <f>-'import de licitació'!J2-(-'import de licitació'!J2*0.1%)</f>
        <v>-56115.334726729205</v>
      </c>
      <c r="E28" s="6">
        <f>D28*0.0318</f>
        <v>-1784.4676443099888</v>
      </c>
      <c r="F28" s="6">
        <f t="shared" ref="F28:F41" si="7">-D4*$D$22</f>
        <v>-10020.680400000001</v>
      </c>
      <c r="G28" s="6">
        <v>2233.3921471768117</v>
      </c>
      <c r="H28" s="6">
        <v>1296.450008096067</v>
      </c>
      <c r="I28" s="6">
        <v>12765.434662706888</v>
      </c>
      <c r="J28" s="6">
        <v>6406.3936076339996</v>
      </c>
      <c r="K28" s="6" t="e">
        <f>J28+#REF!</f>
        <v>#REF!</v>
      </c>
      <c r="L28" s="6">
        <v>719.12796502610718</v>
      </c>
      <c r="M28" s="78" t="s">
        <v>0</v>
      </c>
      <c r="O28" s="63"/>
      <c r="P28" s="63"/>
      <c r="U28" s="1"/>
      <c r="V28" s="1"/>
      <c r="W28" s="67"/>
      <c r="X28" s="1"/>
    </row>
    <row r="29" spans="3:24" ht="12.75" hidden="1" customHeight="1">
      <c r="C29" s="17" t="s">
        <v>1</v>
      </c>
      <c r="D29" s="6">
        <f>-'import de licitació'!J3-(-'import de licitació'!J3*0.1%)</f>
        <v>-398108.84013912891</v>
      </c>
      <c r="E29" s="6">
        <f t="shared" ref="E29:E41" si="8">D29*0.0318</f>
        <v>-12659.861116424299</v>
      </c>
      <c r="F29" s="6">
        <f t="shared" si="7"/>
        <v>-47284.664040000003</v>
      </c>
      <c r="G29" s="6">
        <v>6917.0806147980002</v>
      </c>
      <c r="H29" s="6">
        <v>6591.8000297627814</v>
      </c>
      <c r="I29" s="6">
        <v>59654.765342435814</v>
      </c>
      <c r="J29" s="6">
        <v>26572.140897976322</v>
      </c>
      <c r="K29" s="6" t="e">
        <f>J29+#REF!</f>
        <v>#REF!</v>
      </c>
      <c r="L29" s="6">
        <v>3501.9527220565428</v>
      </c>
      <c r="M29" s="78" t="s">
        <v>1</v>
      </c>
      <c r="O29" s="63"/>
      <c r="P29" s="63"/>
      <c r="U29" s="1"/>
      <c r="V29" s="1"/>
      <c r="W29" s="67"/>
      <c r="X29" s="1"/>
    </row>
    <row r="30" spans="3:24" ht="12.75" hidden="1" customHeight="1">
      <c r="C30" s="17" t="s">
        <v>2</v>
      </c>
      <c r="D30" s="6">
        <f>-'import de licitació'!J4-(-'import de licitació'!J4*0.1%)</f>
        <v>-147884.16358654085</v>
      </c>
      <c r="E30" s="6">
        <f t="shared" si="8"/>
        <v>-4702.7164020519995</v>
      </c>
      <c r="F30" s="6">
        <f t="shared" si="7"/>
        <v>-17963.929680000005</v>
      </c>
      <c r="G30" s="6">
        <v>2692.6233444613181</v>
      </c>
      <c r="H30" s="6">
        <v>1899.6801905050174</v>
      </c>
      <c r="I30" s="6">
        <v>22942.754243737698</v>
      </c>
      <c r="J30" s="6">
        <v>11507.242524558</v>
      </c>
      <c r="K30" s="6" t="e">
        <f>J30+#REF!</f>
        <v>#REF!</v>
      </c>
      <c r="L30" s="6">
        <v>2127.0494292791982</v>
      </c>
      <c r="M30" s="78" t="s">
        <v>2</v>
      </c>
      <c r="O30" s="63"/>
      <c r="P30" s="63"/>
      <c r="U30" s="1"/>
      <c r="V30" s="1"/>
      <c r="W30" s="67"/>
      <c r="X30" s="1"/>
    </row>
    <row r="31" spans="3:24" ht="12.75" hidden="1" customHeight="1">
      <c r="C31" s="17" t="s">
        <v>12</v>
      </c>
      <c r="D31" s="6">
        <f>-'import de licitació'!J5-(-'import de licitació'!J5*0.1%)</f>
        <v>-38424.018988962787</v>
      </c>
      <c r="E31" s="6">
        <f t="shared" si="8"/>
        <v>-1221.8838038490167</v>
      </c>
      <c r="F31" s="6">
        <f t="shared" si="7"/>
        <v>-6679.1112000000012</v>
      </c>
      <c r="G31" s="6">
        <v>1401.7061360812827</v>
      </c>
      <c r="H31" s="6">
        <v>849.32585945872393</v>
      </c>
      <c r="I31" s="6">
        <v>8375.1216567014017</v>
      </c>
      <c r="J31" s="6">
        <v>4269.9548502779999</v>
      </c>
      <c r="K31" s="6" t="e">
        <f>J31+#REF!</f>
        <v>#REF!</v>
      </c>
      <c r="L31" s="6">
        <v>544.37615914897083</v>
      </c>
      <c r="M31" s="78" t="s">
        <v>12</v>
      </c>
      <c r="O31" s="63"/>
      <c r="P31" s="63"/>
      <c r="U31" s="1"/>
      <c r="V31" s="1"/>
      <c r="W31" s="67"/>
      <c r="X31" s="1"/>
    </row>
    <row r="32" spans="3:24" ht="12.75" hidden="1" customHeight="1">
      <c r="C32" s="17" t="s">
        <v>3</v>
      </c>
      <c r="D32" s="6">
        <f>-'import de licitació'!J6-(-'import de licitació'!J6*0.1%)</f>
        <v>-84344.211822044264</v>
      </c>
      <c r="E32" s="6">
        <f t="shared" si="8"/>
        <v>-2682.1459359410078</v>
      </c>
      <c r="F32" s="6">
        <f t="shared" si="7"/>
        <v>-9052.8435600000012</v>
      </c>
      <c r="G32" s="6">
        <v>1754.9173886056567</v>
      </c>
      <c r="H32" s="6">
        <v>1161.6677457831649</v>
      </c>
      <c r="I32" s="6">
        <v>12863.191730635868</v>
      </c>
      <c r="J32" s="6">
        <v>5787.6062081460004</v>
      </c>
      <c r="K32" s="6" t="e">
        <f>J32+#REF!</f>
        <v>#REF!</v>
      </c>
      <c r="L32" s="6">
        <v>559.19343616963386</v>
      </c>
      <c r="M32" s="78" t="s">
        <v>3</v>
      </c>
      <c r="O32" s="63"/>
      <c r="P32" s="63"/>
      <c r="U32" s="1"/>
      <c r="V32" s="1"/>
      <c r="W32" s="67"/>
      <c r="X32" s="1"/>
    </row>
    <row r="33" spans="1:25" ht="12.75" hidden="1" customHeight="1">
      <c r="C33" s="17" t="s">
        <v>4</v>
      </c>
      <c r="D33" s="6">
        <f>-'import de licitació'!J7-(-'import de licitació'!J7*0.1%)</f>
        <v>-110772.8354493259</v>
      </c>
      <c r="E33" s="6">
        <f t="shared" si="8"/>
        <v>-3522.5761672885637</v>
      </c>
      <c r="F33" s="6">
        <f t="shared" si="7"/>
        <v>-12462.271080000002</v>
      </c>
      <c r="G33" s="6">
        <v>1898.6972761934182</v>
      </c>
      <c r="H33" s="6">
        <v>1349.5698017184839</v>
      </c>
      <c r="I33" s="6">
        <v>16032.852440864026</v>
      </c>
      <c r="J33" s="6">
        <v>7980.2741682420001</v>
      </c>
      <c r="K33" s="6" t="e">
        <f>J33+#REF!</f>
        <v>#REF!</v>
      </c>
      <c r="L33" s="6">
        <v>617.97532667112819</v>
      </c>
      <c r="M33" s="78" t="s">
        <v>4</v>
      </c>
      <c r="O33" s="63"/>
      <c r="P33" s="63"/>
      <c r="U33" s="1"/>
      <c r="V33" s="1"/>
      <c r="W33" s="67"/>
      <c r="X33" s="1"/>
    </row>
    <row r="34" spans="1:25" ht="12.75" hidden="1" customHeight="1">
      <c r="C34" s="17" t="s">
        <v>5</v>
      </c>
      <c r="D34" s="6">
        <f>-'import de licitació'!J8-(-'import de licitació'!J8*0.1%)</f>
        <v>-169115.17674301707</v>
      </c>
      <c r="E34" s="6">
        <f t="shared" si="8"/>
        <v>-5377.8626204279435</v>
      </c>
      <c r="F34" s="6">
        <f t="shared" si="7"/>
        <v>-24721.067880000002</v>
      </c>
      <c r="G34" s="6">
        <v>4323.2631427129118</v>
      </c>
      <c r="H34" s="6">
        <v>3061.8391618200603</v>
      </c>
      <c r="I34" s="6">
        <v>28308.678692048186</v>
      </c>
      <c r="J34" s="6">
        <v>15773.760480258001</v>
      </c>
      <c r="K34" s="6" t="e">
        <f>J34+#REF!</f>
        <v>#REF!</v>
      </c>
      <c r="L34" s="6">
        <v>2696.8513240109578</v>
      </c>
      <c r="M34" s="78" t="s">
        <v>5</v>
      </c>
      <c r="O34" s="63"/>
      <c r="P34" s="63"/>
      <c r="U34" s="1"/>
      <c r="V34" s="1"/>
      <c r="W34" s="67"/>
      <c r="X34" s="1"/>
    </row>
    <row r="35" spans="1:25" ht="12.75" hidden="1" customHeight="1">
      <c r="C35" s="17" t="s">
        <v>6</v>
      </c>
      <c r="D35" s="6">
        <f>-'import de licitació'!J9-(-'import de licitació'!J9*0.1%)</f>
        <v>-29490.896407881155</v>
      </c>
      <c r="E35" s="6">
        <f t="shared" si="8"/>
        <v>-937.81050577062081</v>
      </c>
      <c r="F35" s="6">
        <f t="shared" si="7"/>
        <v>-3811.94616</v>
      </c>
      <c r="G35" s="6">
        <v>507.51474925301432</v>
      </c>
      <c r="H35" s="6">
        <v>387.94065141469628</v>
      </c>
      <c r="I35" s="6">
        <v>4879.9486259556725</v>
      </c>
      <c r="J35" s="6">
        <v>2441.7738243119998</v>
      </c>
      <c r="K35" s="6" t="e">
        <f>J35+#REF!</f>
        <v>#REF!</v>
      </c>
      <c r="L35" s="6">
        <v>414.34702588844783</v>
      </c>
      <c r="M35" s="78" t="s">
        <v>6</v>
      </c>
      <c r="O35" s="63"/>
      <c r="P35" s="63"/>
      <c r="U35" s="1"/>
      <c r="V35" s="1"/>
      <c r="W35" s="67"/>
      <c r="X35" s="1"/>
    </row>
    <row r="36" spans="1:25" ht="12.75" hidden="1" customHeight="1">
      <c r="C36" s="17" t="s">
        <v>7</v>
      </c>
      <c r="D36" s="6">
        <f>-'import de licitació'!J10-(-'import de licitació'!J10*0.1%)</f>
        <v>-59458.732639502268</v>
      </c>
      <c r="E36" s="6">
        <f t="shared" si="8"/>
        <v>-1890.7876979361722</v>
      </c>
      <c r="F36" s="6">
        <f t="shared" si="7"/>
        <v>-6175.2078000000001</v>
      </c>
      <c r="G36" s="6">
        <v>957.18623746758226</v>
      </c>
      <c r="H36" s="6">
        <v>819.89610556201478</v>
      </c>
      <c r="I36" s="6">
        <v>8285.6999461691903</v>
      </c>
      <c r="J36" s="6">
        <v>3950.3466139319999</v>
      </c>
      <c r="K36" s="6" t="e">
        <f>J36+#REF!</f>
        <v>#REF!</v>
      </c>
      <c r="L36" s="6">
        <v>508.13159673909053</v>
      </c>
      <c r="M36" s="78" t="s">
        <v>7</v>
      </c>
      <c r="O36" s="63"/>
      <c r="P36" s="63"/>
      <c r="U36" s="1"/>
      <c r="V36" s="1"/>
      <c r="W36" s="67"/>
      <c r="X36" s="1"/>
    </row>
    <row r="37" spans="1:25" ht="12.75" hidden="1" customHeight="1">
      <c r="C37" s="17" t="s">
        <v>8</v>
      </c>
      <c r="D37" s="6">
        <f>-'import de licitació'!J11-(-'import de licitació'!J11*0.1%)</f>
        <v>-273510.16110698029</v>
      </c>
      <c r="E37" s="6">
        <f t="shared" si="8"/>
        <v>-8697.6231232019745</v>
      </c>
      <c r="F37" s="6">
        <f t="shared" si="7"/>
        <v>-31518.880800000006</v>
      </c>
      <c r="G37" s="6">
        <v>4819.3202651864121</v>
      </c>
      <c r="H37" s="6">
        <v>3703.5034738555473</v>
      </c>
      <c r="I37" s="6">
        <v>43922.91822005545</v>
      </c>
      <c r="J37" s="6">
        <v>20146.402871646002</v>
      </c>
      <c r="K37" s="6" t="e">
        <f>J37+#REF!</f>
        <v>#REF!</v>
      </c>
      <c r="L37" s="6">
        <v>3473.8779395852184</v>
      </c>
      <c r="M37" s="78" t="s">
        <v>8</v>
      </c>
      <c r="O37" s="63"/>
      <c r="P37" s="63"/>
      <c r="U37" s="1"/>
      <c r="V37" s="1"/>
      <c r="W37" s="67"/>
      <c r="X37" s="1"/>
    </row>
    <row r="38" spans="1:25" ht="12.75" hidden="1" customHeight="1">
      <c r="C38" s="17" t="s">
        <v>9</v>
      </c>
      <c r="D38" s="6">
        <f>-'import de licitació'!J12-(-'import de licitació'!J12*0.1%)</f>
        <v>-299971.56266311265</v>
      </c>
      <c r="E38" s="6">
        <f t="shared" si="8"/>
        <v>-9539.0956926869821</v>
      </c>
      <c r="F38" s="6">
        <f t="shared" si="7"/>
        <v>-35116.177199999998</v>
      </c>
      <c r="G38" s="6">
        <v>7222.4203040169205</v>
      </c>
      <c r="H38" s="6">
        <v>4824.3284855737311</v>
      </c>
      <c r="I38" s="6">
        <v>46515.877744509395</v>
      </c>
      <c r="J38" s="6">
        <v>22503.022353780001</v>
      </c>
      <c r="K38" s="6" t="e">
        <f>J38+#REF!</f>
        <v>#REF!</v>
      </c>
      <c r="M38" s="78" t="s">
        <v>9</v>
      </c>
      <c r="O38" s="63"/>
      <c r="P38" s="63"/>
      <c r="U38" s="1"/>
      <c r="V38" s="1"/>
      <c r="W38" s="67"/>
      <c r="X38" s="1"/>
    </row>
    <row r="39" spans="1:25" ht="12.75" hidden="1" customHeight="1">
      <c r="C39" s="17" t="s">
        <v>10</v>
      </c>
      <c r="D39" s="6">
        <f>-'import de licitació'!J13-(-'import de licitació'!J13*0.1%)</f>
        <v>-54242.156425169393</v>
      </c>
      <c r="E39" s="6">
        <f t="shared" si="8"/>
        <v>-1724.9005743203868</v>
      </c>
      <c r="F39" s="6">
        <f t="shared" si="7"/>
        <v>-5457.2587200000016</v>
      </c>
      <c r="G39" s="6">
        <v>725.8792767857085</v>
      </c>
      <c r="H39" s="6">
        <v>554.97195718427554</v>
      </c>
      <c r="I39" s="6">
        <v>6979.9421059361675</v>
      </c>
      <c r="J39" s="6">
        <v>3495.6744551640004</v>
      </c>
      <c r="K39" s="6" t="e">
        <f>J39+#REF!</f>
        <v>#REF!</v>
      </c>
      <c r="L39" s="6">
        <v>487.91310274826418</v>
      </c>
      <c r="M39" s="78" t="s">
        <v>10</v>
      </c>
      <c r="O39" s="63"/>
      <c r="P39" s="63"/>
      <c r="U39" s="1"/>
      <c r="V39" s="1"/>
      <c r="W39" s="67"/>
      <c r="X39" s="1"/>
    </row>
    <row r="40" spans="1:25" ht="12.75" hidden="1" customHeight="1">
      <c r="C40" s="17" t="s">
        <v>11</v>
      </c>
      <c r="D40" s="6">
        <f>-'import de licitació'!J14-(-'import de licitació'!J14*0.1%)</f>
        <v>-371878.1129567434</v>
      </c>
      <c r="E40" s="6">
        <f t="shared" si="8"/>
        <v>-11825.723992024441</v>
      </c>
      <c r="F40" s="6">
        <f t="shared" si="7"/>
        <v>-28603.59072</v>
      </c>
      <c r="G40" s="6">
        <v>6544.3824228953308</v>
      </c>
      <c r="H40" s="6">
        <v>4042.8944403663609</v>
      </c>
      <c r="I40" s="6">
        <v>43974.571612550149</v>
      </c>
      <c r="J40" s="6">
        <v>18291.851066039999</v>
      </c>
      <c r="K40" s="6" t="e">
        <f>J40+#REF!</f>
        <v>#REF!</v>
      </c>
      <c r="L40" s="6">
        <v>2226.224372015371</v>
      </c>
      <c r="M40" s="78" t="s">
        <v>11</v>
      </c>
      <c r="O40" s="63"/>
      <c r="P40" s="63"/>
      <c r="U40" s="1"/>
      <c r="V40" s="1"/>
      <c r="W40" s="67"/>
      <c r="X40" s="1"/>
    </row>
    <row r="41" spans="1:25" ht="12.75" hidden="1" customHeight="1">
      <c r="C41" s="17" t="s">
        <v>13</v>
      </c>
      <c r="D41" s="6">
        <f>-'import de licitació'!J15-(-'import de licitació'!J15*0.1%)</f>
        <v>-421343.8841350638</v>
      </c>
      <c r="E41" s="6">
        <f t="shared" si="8"/>
        <v>-13398.735515495029</v>
      </c>
      <c r="F41" s="6">
        <f t="shared" si="7"/>
        <v>-45996.86615999999</v>
      </c>
      <c r="G41" s="6">
        <v>6148.9603684813392</v>
      </c>
      <c r="H41" s="6">
        <v>5887.442117008789</v>
      </c>
      <c r="I41" s="6">
        <v>60513.504017068102</v>
      </c>
      <c r="J41" s="6">
        <v>25841.940503516162</v>
      </c>
      <c r="K41" s="6" t="e">
        <f>J41+#REF!</f>
        <v>#REF!</v>
      </c>
      <c r="M41" s="78" t="s">
        <v>13</v>
      </c>
      <c r="O41" s="63"/>
      <c r="P41" s="63"/>
      <c r="U41" s="1"/>
      <c r="V41" s="1"/>
      <c r="W41" s="67"/>
      <c r="X41" s="1"/>
    </row>
    <row r="42" spans="1:25" ht="12.75" hidden="1" customHeight="1">
      <c r="D42" s="6">
        <f>SUM(D28:D41)</f>
        <v>-2514660.0877902019</v>
      </c>
      <c r="E42" s="6">
        <f>D42*0.0312</f>
        <v>-78457.394739054289</v>
      </c>
      <c r="F42" s="6">
        <f>SUM(F28:F41)</f>
        <v>-284864.49540000007</v>
      </c>
      <c r="K42" s="64"/>
      <c r="L42" s="64"/>
      <c r="M42" s="64"/>
      <c r="N42" s="1"/>
      <c r="O42" s="63"/>
      <c r="P42" s="63"/>
      <c r="U42" s="1"/>
      <c r="V42" s="1"/>
      <c r="W42" s="1"/>
      <c r="X42" s="1"/>
    </row>
    <row r="43" spans="1:25" ht="12.75" hidden="1" customHeight="1">
      <c r="C43" s="35"/>
      <c r="D43" s="42"/>
      <c r="E43" s="43"/>
      <c r="F43" s="41"/>
      <c r="G43" s="41"/>
      <c r="I43" s="73"/>
      <c r="J43" s="72"/>
      <c r="K43" s="42"/>
      <c r="L43" s="79"/>
      <c r="U43" s="1"/>
      <c r="V43" s="1"/>
      <c r="W43" s="1"/>
      <c r="X43" s="1"/>
    </row>
    <row r="44" spans="1:25" ht="12.75" hidden="1" customHeight="1">
      <c r="C44" s="1"/>
      <c r="D44" s="1"/>
      <c r="E44" s="1"/>
      <c r="F44" s="1"/>
      <c r="G44" s="1"/>
      <c r="H44" s="71"/>
      <c r="I44" s="73"/>
      <c r="J44" s="72"/>
      <c r="K44" s="1"/>
      <c r="L44" s="79"/>
    </row>
    <row r="45" spans="1:25" ht="12.75" hidden="1" customHeight="1">
      <c r="C45" s="596" t="s">
        <v>124</v>
      </c>
      <c r="D45" s="596"/>
      <c r="E45" s="596"/>
      <c r="F45" s="31"/>
      <c r="H45" s="71"/>
      <c r="I45" s="73"/>
      <c r="J45" s="72"/>
      <c r="N45" s="31"/>
    </row>
    <row r="46" spans="1:25" ht="56">
      <c r="A46" s="651" t="s">
        <v>138</v>
      </c>
      <c r="B46" s="652"/>
      <c r="C46" s="121" t="s">
        <v>32</v>
      </c>
      <c r="D46" s="121" t="s">
        <v>38</v>
      </c>
      <c r="E46" s="121" t="s">
        <v>37</v>
      </c>
      <c r="F46" s="121" t="s">
        <v>39</v>
      </c>
      <c r="G46" s="121" t="s">
        <v>40</v>
      </c>
      <c r="H46" s="121" t="s">
        <v>41</v>
      </c>
      <c r="I46" s="121" t="s">
        <v>42</v>
      </c>
      <c r="J46" s="121" t="s">
        <v>43</v>
      </c>
      <c r="K46" s="121" t="s">
        <v>45</v>
      </c>
      <c r="L46" s="121" t="s">
        <v>46</v>
      </c>
      <c r="M46" s="121" t="s">
        <v>47</v>
      </c>
      <c r="N46" s="121" t="s">
        <v>48</v>
      </c>
      <c r="O46" s="121" t="s">
        <v>49</v>
      </c>
      <c r="P46" s="121" t="s">
        <v>14</v>
      </c>
      <c r="U46" s="68"/>
      <c r="V46" s="69" t="s">
        <v>104</v>
      </c>
      <c r="W46" s="69" t="s">
        <v>105</v>
      </c>
      <c r="X46" s="69" t="s">
        <v>106</v>
      </c>
      <c r="Y46" s="70" t="s">
        <v>107</v>
      </c>
    </row>
    <row r="47" spans="1:25" s="162" customFormat="1" ht="14.5" thickBot="1">
      <c r="A47" s="590" t="s">
        <v>131</v>
      </c>
      <c r="B47" s="159" t="s">
        <v>52</v>
      </c>
      <c r="C47" s="160" t="e">
        <f>#REF!</f>
        <v>#REF!</v>
      </c>
      <c r="D47" s="160" t="e">
        <f>#REF!</f>
        <v>#REF!</v>
      </c>
      <c r="E47" s="160" t="e">
        <f>#REF!</f>
        <v>#REF!</v>
      </c>
      <c r="F47" s="160" t="e">
        <f>#REF!</f>
        <v>#REF!</v>
      </c>
      <c r="G47" s="160" t="e">
        <f>#REF!</f>
        <v>#REF!</v>
      </c>
      <c r="H47" s="160" t="e">
        <f>#REF!</f>
        <v>#REF!</v>
      </c>
      <c r="I47" s="160" t="e">
        <f>#REF!</f>
        <v>#REF!</v>
      </c>
      <c r="J47" s="160" t="e">
        <f>#REF!</f>
        <v>#REF!</v>
      </c>
      <c r="K47" s="160" t="e">
        <f>#REF!</f>
        <v>#REF!</v>
      </c>
      <c r="L47" s="160" t="e">
        <f>#REF!</f>
        <v>#REF!</v>
      </c>
      <c r="M47" s="160" t="e">
        <f>#REF!</f>
        <v>#REF!</v>
      </c>
      <c r="N47" s="160" t="e">
        <f>#REF!</f>
        <v>#REF!</v>
      </c>
      <c r="O47" s="160" t="e">
        <f>#REF!</f>
        <v>#REF!</v>
      </c>
      <c r="P47" s="161" t="e">
        <f>#REF!</f>
        <v>#REF!</v>
      </c>
      <c r="Q47"/>
      <c r="R47"/>
      <c r="S47"/>
      <c r="T47"/>
      <c r="U47" s="164" t="s">
        <v>1</v>
      </c>
      <c r="V47" s="165">
        <v>1631</v>
      </c>
      <c r="W47" s="165">
        <v>359</v>
      </c>
      <c r="X47" s="166">
        <v>186</v>
      </c>
      <c r="Y47" s="167">
        <v>2176</v>
      </c>
    </row>
    <row r="48" spans="1:25" s="162" customFormat="1" ht="14.5" thickBot="1">
      <c r="A48" s="590"/>
      <c r="B48" s="168" t="s">
        <v>72</v>
      </c>
      <c r="C48" s="160" t="e">
        <f>#REF!</f>
        <v>#REF!</v>
      </c>
      <c r="D48" s="160" t="e">
        <f>#REF!</f>
        <v>#REF!</v>
      </c>
      <c r="E48" s="160" t="e">
        <f>#REF!</f>
        <v>#REF!</v>
      </c>
      <c r="F48" s="160" t="e">
        <f>#REF!</f>
        <v>#REF!</v>
      </c>
      <c r="G48" s="160" t="e">
        <f>#REF!</f>
        <v>#REF!</v>
      </c>
      <c r="H48" s="160" t="e">
        <f>#REF!</f>
        <v>#REF!</v>
      </c>
      <c r="I48" s="160" t="e">
        <f>#REF!</f>
        <v>#REF!</v>
      </c>
      <c r="J48" s="160" t="e">
        <f>#REF!</f>
        <v>#REF!</v>
      </c>
      <c r="K48" s="160" t="e">
        <f>#REF!</f>
        <v>#REF!</v>
      </c>
      <c r="L48" s="160" t="e">
        <f>#REF!</f>
        <v>#REF!</v>
      </c>
      <c r="M48" s="160" t="e">
        <f>#REF!</f>
        <v>#REF!</v>
      </c>
      <c r="N48" s="160" t="e">
        <f>#REF!</f>
        <v>#REF!</v>
      </c>
      <c r="O48" s="160" t="e">
        <f>#REF!</f>
        <v>#REF!</v>
      </c>
      <c r="P48" s="161" t="e">
        <f>#REF!</f>
        <v>#REF!</v>
      </c>
      <c r="Q48"/>
      <c r="R48"/>
      <c r="S48"/>
      <c r="T48"/>
      <c r="U48" s="164" t="s">
        <v>2</v>
      </c>
      <c r="V48" s="165">
        <v>707</v>
      </c>
      <c r="W48" s="165" t="s">
        <v>108</v>
      </c>
      <c r="X48" s="166">
        <v>69</v>
      </c>
      <c r="Y48" s="167">
        <v>776</v>
      </c>
    </row>
    <row r="49" spans="1:74" s="162" customFormat="1" ht="14.5" thickBot="1">
      <c r="A49" s="590"/>
      <c r="B49" s="168" t="s">
        <v>223</v>
      </c>
      <c r="C49" s="160" t="e">
        <f>#REF!</f>
        <v>#REF!</v>
      </c>
      <c r="D49" s="160" t="e">
        <f>#REF!</f>
        <v>#REF!</v>
      </c>
      <c r="E49" s="160" t="e">
        <f>#REF!</f>
        <v>#REF!</v>
      </c>
      <c r="F49" s="160" t="e">
        <f>#REF!</f>
        <v>#REF!</v>
      </c>
      <c r="G49" s="160" t="e">
        <f>#REF!</f>
        <v>#REF!</v>
      </c>
      <c r="H49" s="160" t="e">
        <f>#REF!</f>
        <v>#REF!</v>
      </c>
      <c r="I49" s="160" t="e">
        <f>#REF!</f>
        <v>#REF!</v>
      </c>
      <c r="J49" s="160" t="e">
        <f>#REF!</f>
        <v>#REF!</v>
      </c>
      <c r="K49" s="160" t="e">
        <f>#REF!</f>
        <v>#REF!</v>
      </c>
      <c r="L49" s="160" t="e">
        <f>#REF!</f>
        <v>#REF!</v>
      </c>
      <c r="M49" s="160" t="e">
        <f>#REF!</f>
        <v>#REF!</v>
      </c>
      <c r="N49" s="160" t="e">
        <f>#REF!</f>
        <v>#REF!</v>
      </c>
      <c r="O49" s="160" t="e">
        <f>#REF!</f>
        <v>#REF!</v>
      </c>
      <c r="P49" s="161" t="e">
        <f>#REF!</f>
        <v>#REF!</v>
      </c>
      <c r="Q49"/>
      <c r="R49"/>
      <c r="S49"/>
      <c r="T49"/>
      <c r="U49" s="164"/>
      <c r="V49" s="165"/>
      <c r="W49" s="165"/>
      <c r="X49" s="166"/>
      <c r="Y49" s="167"/>
    </row>
    <row r="50" spans="1:74" s="212" customFormat="1" ht="25.5" thickBot="1">
      <c r="A50" s="590"/>
      <c r="B50" s="209" t="s">
        <v>115</v>
      </c>
      <c r="C50" s="210" t="e">
        <f>#REF!</f>
        <v>#REF!</v>
      </c>
      <c r="D50" s="210" t="e">
        <f>#REF!</f>
        <v>#REF!</v>
      </c>
      <c r="E50" s="210" t="e">
        <f>#REF!</f>
        <v>#REF!</v>
      </c>
      <c r="F50" s="210" t="e">
        <f>#REF!</f>
        <v>#REF!</v>
      </c>
      <c r="G50" s="210" t="e">
        <f>#REF!</f>
        <v>#REF!</v>
      </c>
      <c r="H50" s="210" t="e">
        <f>#REF!</f>
        <v>#REF!</v>
      </c>
      <c r="I50" s="210" t="e">
        <f>#REF!</f>
        <v>#REF!</v>
      </c>
      <c r="J50" s="210" t="e">
        <f>#REF!</f>
        <v>#REF!</v>
      </c>
      <c r="K50" s="210" t="e">
        <f>#REF!</f>
        <v>#REF!</v>
      </c>
      <c r="L50" s="210" t="e">
        <f>#REF!</f>
        <v>#REF!</v>
      </c>
      <c r="M50" s="210" t="e">
        <f>#REF!</f>
        <v>#REF!</v>
      </c>
      <c r="N50" s="210" t="e">
        <f>#REF!</f>
        <v>#REF!</v>
      </c>
      <c r="O50" s="210" t="e">
        <f>#REF!</f>
        <v>#REF!</v>
      </c>
      <c r="P50" s="211" t="e">
        <f>#REF!</f>
        <v>#REF!</v>
      </c>
      <c r="Q50"/>
      <c r="R50"/>
      <c r="S50"/>
      <c r="T50"/>
      <c r="U50" s="164" t="s">
        <v>12</v>
      </c>
      <c r="V50" s="165" t="s">
        <v>108</v>
      </c>
      <c r="W50" s="165">
        <v>150</v>
      </c>
      <c r="X50" s="166">
        <v>56</v>
      </c>
      <c r="Y50" s="167">
        <v>206</v>
      </c>
    </row>
    <row r="51" spans="1:74" s="162" customFormat="1" ht="14.5" thickBot="1">
      <c r="A51" s="590"/>
      <c r="B51" s="168" t="s">
        <v>55</v>
      </c>
      <c r="C51" s="160" t="e">
        <f>#REF!</f>
        <v>#REF!</v>
      </c>
      <c r="D51" s="160" t="e">
        <f>#REF!</f>
        <v>#REF!</v>
      </c>
      <c r="E51" s="160" t="e">
        <f>#REF!</f>
        <v>#REF!</v>
      </c>
      <c r="F51" s="160" t="e">
        <f>#REF!</f>
        <v>#REF!</v>
      </c>
      <c r="G51" s="160" t="e">
        <f>#REF!</f>
        <v>#REF!</v>
      </c>
      <c r="H51" s="160" t="e">
        <f>#REF!</f>
        <v>#REF!</v>
      </c>
      <c r="I51" s="160" t="e">
        <f>#REF!</f>
        <v>#REF!</v>
      </c>
      <c r="J51" s="160" t="e">
        <f>#REF!</f>
        <v>#REF!</v>
      </c>
      <c r="K51" s="160" t="e">
        <f>#REF!</f>
        <v>#REF!</v>
      </c>
      <c r="L51" s="160" t="e">
        <f>#REF!</f>
        <v>#REF!</v>
      </c>
      <c r="M51" s="160" t="e">
        <f>#REF!</f>
        <v>#REF!</v>
      </c>
      <c r="N51" s="160" t="e">
        <f>#REF!</f>
        <v>#REF!</v>
      </c>
      <c r="O51" s="160" t="e">
        <f>#REF!</f>
        <v>#REF!</v>
      </c>
      <c r="P51" s="161" t="e">
        <f>#REF!</f>
        <v>#REF!</v>
      </c>
      <c r="Q51"/>
      <c r="R51"/>
      <c r="S51"/>
      <c r="T51"/>
      <c r="U51" s="164" t="s">
        <v>109</v>
      </c>
      <c r="V51" s="165">
        <v>414</v>
      </c>
      <c r="W51" s="165" t="s">
        <v>108</v>
      </c>
      <c r="X51" s="166">
        <v>28</v>
      </c>
      <c r="Y51" s="167">
        <v>442</v>
      </c>
    </row>
    <row r="52" spans="1:74" s="162" customFormat="1" ht="14.5" thickBot="1">
      <c r="A52" s="590"/>
      <c r="B52" s="168" t="s">
        <v>71</v>
      </c>
      <c r="C52" s="184" t="e">
        <f>#REF!</f>
        <v>#REF!</v>
      </c>
      <c r="D52" s="184" t="e">
        <f>#REF!</f>
        <v>#REF!</v>
      </c>
      <c r="E52" s="184" t="e">
        <f>#REF!</f>
        <v>#REF!</v>
      </c>
      <c r="F52" s="184" t="e">
        <f>#REF!</f>
        <v>#REF!</v>
      </c>
      <c r="G52" s="184" t="e">
        <f>#REF!</f>
        <v>#REF!</v>
      </c>
      <c r="H52" s="184" t="e">
        <f>#REF!</f>
        <v>#REF!</v>
      </c>
      <c r="I52" s="184" t="e">
        <f>#REF!</f>
        <v>#REF!</v>
      </c>
      <c r="J52" s="184" t="e">
        <f>#REF!</f>
        <v>#REF!</v>
      </c>
      <c r="K52" s="184" t="e">
        <f>#REF!</f>
        <v>#REF!</v>
      </c>
      <c r="L52" s="184" t="e">
        <f>#REF!</f>
        <v>#REF!</v>
      </c>
      <c r="M52" s="184" t="e">
        <f>#REF!</f>
        <v>#REF!</v>
      </c>
      <c r="N52" s="184" t="e">
        <f>#REF!</f>
        <v>#REF!</v>
      </c>
      <c r="O52" s="184" t="e">
        <f>#REF!</f>
        <v>#REF!</v>
      </c>
      <c r="P52" s="185" t="e">
        <f>#REF!</f>
        <v>#REF!</v>
      </c>
      <c r="Q52"/>
      <c r="R52"/>
      <c r="S52"/>
      <c r="T52"/>
      <c r="U52" s="164" t="s">
        <v>4</v>
      </c>
      <c r="V52" s="165">
        <v>508</v>
      </c>
      <c r="W52" s="165" t="s">
        <v>108</v>
      </c>
      <c r="X52" s="166">
        <v>21</v>
      </c>
      <c r="Y52" s="167">
        <v>529</v>
      </c>
    </row>
    <row r="53" spans="1:74" s="171" customFormat="1" ht="14.5" thickBot="1">
      <c r="A53" s="590"/>
      <c r="B53" s="169" t="s">
        <v>165</v>
      </c>
      <c r="C53" s="170" t="e">
        <f>SUM(C47:C52)</f>
        <v>#REF!</v>
      </c>
      <c r="D53" s="170" t="e">
        <f t="shared" ref="D53:O53" si="9">SUM(D47:D52)</f>
        <v>#REF!</v>
      </c>
      <c r="E53" s="170" t="e">
        <f t="shared" si="9"/>
        <v>#REF!</v>
      </c>
      <c r="F53" s="170" t="e">
        <f t="shared" si="9"/>
        <v>#REF!</v>
      </c>
      <c r="G53" s="170" t="e">
        <f t="shared" si="9"/>
        <v>#REF!</v>
      </c>
      <c r="H53" s="170" t="e">
        <f t="shared" si="9"/>
        <v>#REF!</v>
      </c>
      <c r="I53" s="170" t="e">
        <f t="shared" si="9"/>
        <v>#REF!</v>
      </c>
      <c r="J53" s="170" t="e">
        <f t="shared" si="9"/>
        <v>#REF!</v>
      </c>
      <c r="K53" s="170" t="e">
        <f t="shared" si="9"/>
        <v>#REF!</v>
      </c>
      <c r="L53" s="170" t="e">
        <f t="shared" si="9"/>
        <v>#REF!</v>
      </c>
      <c r="M53" s="170" t="e">
        <f t="shared" si="9"/>
        <v>#REF!</v>
      </c>
      <c r="N53" s="170" t="e">
        <f t="shared" si="9"/>
        <v>#REF!</v>
      </c>
      <c r="O53" s="170" t="e">
        <f t="shared" si="9"/>
        <v>#REF!</v>
      </c>
      <c r="P53" s="170" t="e">
        <f t="shared" ref="P53" si="10">SUM(P47:P52)</f>
        <v>#REF!</v>
      </c>
      <c r="Q53"/>
      <c r="R53"/>
      <c r="S53"/>
      <c r="T53"/>
      <c r="U53" s="172"/>
      <c r="V53" s="173"/>
      <c r="W53" s="173"/>
      <c r="X53" s="174"/>
      <c r="Y53" s="175"/>
    </row>
    <row r="54" spans="1:74" s="162" customFormat="1" ht="17.25" customHeight="1" thickBot="1">
      <c r="A54" s="649" t="s">
        <v>132</v>
      </c>
      <c r="B54" s="176" t="s">
        <v>73</v>
      </c>
      <c r="C54" s="160" t="e">
        <f>#REF!</f>
        <v>#REF!</v>
      </c>
      <c r="D54" s="160" t="e">
        <f>#REF!</f>
        <v>#REF!</v>
      </c>
      <c r="E54" s="160" t="e">
        <f>#REF!</f>
        <v>#REF!</v>
      </c>
      <c r="F54" s="160" t="e">
        <f>#REF!</f>
        <v>#REF!</v>
      </c>
      <c r="G54" s="160" t="e">
        <f>#REF!</f>
        <v>#REF!</v>
      </c>
      <c r="H54" s="160" t="e">
        <f>#REF!</f>
        <v>#REF!</v>
      </c>
      <c r="I54" s="160" t="e">
        <f>#REF!</f>
        <v>#REF!</v>
      </c>
      <c r="J54" s="160" t="e">
        <f>#REF!</f>
        <v>#REF!</v>
      </c>
      <c r="K54" s="160" t="e">
        <f>#REF!</f>
        <v>#REF!</v>
      </c>
      <c r="L54" s="160" t="e">
        <f>#REF!</f>
        <v>#REF!</v>
      </c>
      <c r="M54" s="160" t="e">
        <f>#REF!</f>
        <v>#REF!</v>
      </c>
      <c r="N54" s="160" t="e">
        <f>#REF!</f>
        <v>#REF!</v>
      </c>
      <c r="O54" s="160" t="e">
        <f>#REF!</f>
        <v>#REF!</v>
      </c>
      <c r="P54" s="161" t="e">
        <f>#REF!</f>
        <v>#REF!</v>
      </c>
      <c r="Q54"/>
      <c r="R54"/>
      <c r="S54"/>
      <c r="T54"/>
      <c r="U54" s="164" t="s">
        <v>110</v>
      </c>
      <c r="V54" s="177">
        <v>2204</v>
      </c>
      <c r="W54" s="177" t="s">
        <v>108</v>
      </c>
      <c r="X54" s="167">
        <v>25</v>
      </c>
      <c r="Y54" s="167">
        <v>2229</v>
      </c>
    </row>
    <row r="55" spans="1:74" s="162" customFormat="1">
      <c r="A55" s="649"/>
      <c r="B55" s="176" t="s">
        <v>53</v>
      </c>
      <c r="C55" s="160" t="e">
        <f>#REF!</f>
        <v>#REF!</v>
      </c>
      <c r="D55" s="160" t="e">
        <f>#REF!</f>
        <v>#REF!</v>
      </c>
      <c r="E55" s="160" t="e">
        <f>#REF!</f>
        <v>#REF!</v>
      </c>
      <c r="F55" s="160" t="e">
        <f>#REF!</f>
        <v>#REF!</v>
      </c>
      <c r="G55" s="160" t="e">
        <f>#REF!</f>
        <v>#REF!</v>
      </c>
      <c r="H55" s="160" t="e">
        <f>#REF!</f>
        <v>#REF!</v>
      </c>
      <c r="I55" s="160" t="e">
        <f>#REF!</f>
        <v>#REF!</v>
      </c>
      <c r="J55" s="160" t="e">
        <f>#REF!</f>
        <v>#REF!</v>
      </c>
      <c r="K55" s="160" t="e">
        <f>#REF!</f>
        <v>#REF!</v>
      </c>
      <c r="L55" s="160" t="e">
        <f>#REF!</f>
        <v>#REF!</v>
      </c>
      <c r="M55" s="160" t="e">
        <f>#REF!</f>
        <v>#REF!</v>
      </c>
      <c r="N55" s="160" t="e">
        <f>#REF!</f>
        <v>#REF!</v>
      </c>
      <c r="O55" s="160" t="e">
        <f>#REF!</f>
        <v>#REF!</v>
      </c>
      <c r="P55" s="160" t="e">
        <f>#REF!</f>
        <v>#REF!</v>
      </c>
      <c r="Q55"/>
      <c r="R55"/>
      <c r="S55"/>
      <c r="T55"/>
      <c r="U55"/>
      <c r="V55"/>
      <c r="W55"/>
      <c r="X55"/>
      <c r="Y55">
        <v>12902</v>
      </c>
    </row>
    <row r="56" spans="1:74" s="162" customFormat="1" ht="25">
      <c r="A56" s="649"/>
      <c r="B56" s="176" t="s">
        <v>125</v>
      </c>
      <c r="C56" s="160" t="e">
        <f>#REF!</f>
        <v>#REF!</v>
      </c>
      <c r="D56" s="160" t="e">
        <f>#REF!</f>
        <v>#REF!</v>
      </c>
      <c r="E56" s="160" t="e">
        <f>#REF!</f>
        <v>#REF!</v>
      </c>
      <c r="F56" s="160" t="e">
        <f>#REF!</f>
        <v>#REF!</v>
      </c>
      <c r="G56" s="160" t="e">
        <f>#REF!</f>
        <v>#REF!</v>
      </c>
      <c r="H56" s="160" t="e">
        <f>#REF!</f>
        <v>#REF!</v>
      </c>
      <c r="I56" s="160" t="e">
        <f>#REF!</f>
        <v>#REF!</v>
      </c>
      <c r="J56" s="160" t="e">
        <f>#REF!</f>
        <v>#REF!</v>
      </c>
      <c r="K56" s="160" t="e">
        <f>#REF!</f>
        <v>#REF!</v>
      </c>
      <c r="L56" s="160" t="e">
        <f>#REF!</f>
        <v>#REF!</v>
      </c>
      <c r="M56" s="160" t="e">
        <f>#REF!</f>
        <v>#REF!</v>
      </c>
      <c r="N56" s="160" t="e">
        <f>#REF!</f>
        <v>#REF!</v>
      </c>
      <c r="O56" s="160" t="e">
        <f>#REF!</f>
        <v>#REF!</v>
      </c>
      <c r="P56" s="161" t="e">
        <f>#REF!</f>
        <v>#REF!</v>
      </c>
      <c r="Q56"/>
      <c r="R56"/>
      <c r="S56"/>
      <c r="T56"/>
    </row>
    <row r="57" spans="1:74" s="162" customFormat="1">
      <c r="A57" s="649"/>
      <c r="B57" s="176" t="s">
        <v>126</v>
      </c>
      <c r="C57" s="160" t="e">
        <f>#REF!</f>
        <v>#REF!</v>
      </c>
      <c r="D57" s="160" t="e">
        <f>#REF!</f>
        <v>#REF!</v>
      </c>
      <c r="E57" s="160" t="e">
        <f>#REF!</f>
        <v>#REF!</v>
      </c>
      <c r="F57" s="160" t="e">
        <f>#REF!</f>
        <v>#REF!</v>
      </c>
      <c r="G57" s="160" t="e">
        <f>#REF!</f>
        <v>#REF!</v>
      </c>
      <c r="H57" s="160" t="e">
        <f>#REF!</f>
        <v>#REF!</v>
      </c>
      <c r="I57" s="160" t="e">
        <f>#REF!</f>
        <v>#REF!</v>
      </c>
      <c r="J57" s="160" t="e">
        <f>#REF!</f>
        <v>#REF!</v>
      </c>
      <c r="K57" s="160" t="e">
        <f>#REF!</f>
        <v>#REF!</v>
      </c>
      <c r="L57" s="160" t="e">
        <f>#REF!</f>
        <v>#REF!</v>
      </c>
      <c r="M57" s="160" t="e">
        <f>#REF!</f>
        <v>#REF!</v>
      </c>
      <c r="N57" s="160" t="e">
        <f>#REF!</f>
        <v>#REF!</v>
      </c>
      <c r="O57" s="160" t="e">
        <f>#REF!</f>
        <v>#REF!</v>
      </c>
      <c r="P57" s="161" t="e">
        <f>#REF!</f>
        <v>#REF!</v>
      </c>
      <c r="Q57"/>
      <c r="R57"/>
      <c r="S57"/>
      <c r="T57"/>
    </row>
    <row r="58" spans="1:74" s="162" customFormat="1">
      <c r="A58" s="649"/>
      <c r="B58" s="176" t="s">
        <v>75</v>
      </c>
      <c r="C58" s="160" t="e">
        <f>#REF!</f>
        <v>#REF!</v>
      </c>
      <c r="D58" s="160" t="e">
        <f>#REF!</f>
        <v>#REF!</v>
      </c>
      <c r="E58" s="160" t="e">
        <f>#REF!</f>
        <v>#REF!</v>
      </c>
      <c r="F58" s="160" t="e">
        <f>#REF!</f>
        <v>#REF!</v>
      </c>
      <c r="G58" s="160" t="e">
        <f>#REF!</f>
        <v>#REF!</v>
      </c>
      <c r="H58" s="160" t="e">
        <f>#REF!</f>
        <v>#REF!</v>
      </c>
      <c r="I58" s="160" t="e">
        <f>#REF!</f>
        <v>#REF!</v>
      </c>
      <c r="J58" s="160" t="e">
        <f>#REF!</f>
        <v>#REF!</v>
      </c>
      <c r="K58" s="160" t="e">
        <f>#REF!</f>
        <v>#REF!</v>
      </c>
      <c r="L58" s="160" t="e">
        <f>#REF!</f>
        <v>#REF!</v>
      </c>
      <c r="M58" s="160" t="e">
        <f>#REF!</f>
        <v>#REF!</v>
      </c>
      <c r="N58" s="160" t="e">
        <f>#REF!</f>
        <v>#REF!</v>
      </c>
      <c r="O58" s="160" t="e">
        <f>#REF!</f>
        <v>#REF!</v>
      </c>
      <c r="P58" s="161" t="e">
        <f>#REF!</f>
        <v>#REF!</v>
      </c>
      <c r="Q58"/>
      <c r="R58"/>
      <c r="S58"/>
      <c r="T58"/>
    </row>
    <row r="59" spans="1:74" s="162" customFormat="1">
      <c r="A59" s="649"/>
      <c r="B59" s="176" t="s">
        <v>394</v>
      </c>
      <c r="C59" s="160" t="e">
        <f>#REF!</f>
        <v>#REF!</v>
      </c>
      <c r="D59" s="160" t="e">
        <f>#REF!</f>
        <v>#REF!</v>
      </c>
      <c r="E59" s="160" t="e">
        <f>#REF!</f>
        <v>#REF!</v>
      </c>
      <c r="F59" s="160" t="e">
        <f>#REF!</f>
        <v>#REF!</v>
      </c>
      <c r="G59" s="160" t="e">
        <f>#REF!</f>
        <v>#REF!</v>
      </c>
      <c r="H59" s="160" t="e">
        <f>#REF!</f>
        <v>#REF!</v>
      </c>
      <c r="I59" s="160" t="e">
        <f>#REF!</f>
        <v>#REF!</v>
      </c>
      <c r="J59" s="160" t="e">
        <f>#REF!</f>
        <v>#REF!</v>
      </c>
      <c r="K59" s="160" t="e">
        <f>#REF!</f>
        <v>#REF!</v>
      </c>
      <c r="L59" s="160" t="e">
        <f>#REF!</f>
        <v>#REF!</v>
      </c>
      <c r="M59" s="160" t="e">
        <f>#REF!</f>
        <v>#REF!</v>
      </c>
      <c r="N59" s="160" t="e">
        <f>#REF!</f>
        <v>#REF!</v>
      </c>
      <c r="O59" s="160" t="e">
        <f>#REF!</f>
        <v>#REF!</v>
      </c>
      <c r="P59" s="161" t="e">
        <f>#REF!</f>
        <v>#REF!</v>
      </c>
      <c r="Q59"/>
      <c r="R59"/>
      <c r="S59"/>
      <c r="T59"/>
    </row>
    <row r="60" spans="1:74" s="162" customFormat="1" ht="25">
      <c r="A60" s="649"/>
      <c r="B60" s="176" t="s">
        <v>74</v>
      </c>
      <c r="C60" s="160" t="e">
        <f>#REF!</f>
        <v>#REF!</v>
      </c>
      <c r="D60" s="160" t="e">
        <f>#REF!</f>
        <v>#REF!</v>
      </c>
      <c r="E60" s="160" t="e">
        <f>#REF!</f>
        <v>#REF!</v>
      </c>
      <c r="F60" s="160" t="e">
        <f>#REF!</f>
        <v>#REF!</v>
      </c>
      <c r="G60" s="160" t="e">
        <f>#REF!</f>
        <v>#REF!</v>
      </c>
      <c r="H60" s="160" t="e">
        <f>#REF!</f>
        <v>#REF!</v>
      </c>
      <c r="I60" s="160" t="e">
        <f>#REF!</f>
        <v>#REF!</v>
      </c>
      <c r="J60" s="160" t="e">
        <f>#REF!</f>
        <v>#REF!</v>
      </c>
      <c r="K60" s="160" t="e">
        <f>#REF!</f>
        <v>#REF!</v>
      </c>
      <c r="L60" s="160" t="e">
        <f>#REF!</f>
        <v>#REF!</v>
      </c>
      <c r="M60" s="160" t="e">
        <f>#REF!</f>
        <v>#REF!</v>
      </c>
      <c r="N60" s="160" t="e">
        <f>#REF!</f>
        <v>#REF!</v>
      </c>
      <c r="O60" s="160" t="e">
        <f>#REF!</f>
        <v>#REF!</v>
      </c>
      <c r="P60" s="161" t="e">
        <f>#REF!</f>
        <v>#REF!</v>
      </c>
      <c r="Q60"/>
      <c r="R60"/>
      <c r="S60"/>
      <c r="T60"/>
    </row>
    <row r="61" spans="1:74" s="178" customFormat="1" ht="25">
      <c r="A61" s="649"/>
      <c r="B61" s="176" t="s">
        <v>226</v>
      </c>
      <c r="C61" s="160" t="e">
        <f>#REF!</f>
        <v>#REF!</v>
      </c>
      <c r="D61" s="160" t="e">
        <f>#REF!</f>
        <v>#REF!</v>
      </c>
      <c r="E61" s="160" t="e">
        <f>#REF!</f>
        <v>#REF!</v>
      </c>
      <c r="F61" s="160" t="e">
        <f>#REF!</f>
        <v>#REF!</v>
      </c>
      <c r="G61" s="160" t="e">
        <f>#REF!</f>
        <v>#REF!</v>
      </c>
      <c r="H61" s="160" t="e">
        <f>#REF!</f>
        <v>#REF!</v>
      </c>
      <c r="I61" s="160" t="e">
        <f>#REF!</f>
        <v>#REF!</v>
      </c>
      <c r="J61" s="160" t="e">
        <f>#REF!</f>
        <v>#REF!</v>
      </c>
      <c r="K61" s="160" t="e">
        <f>#REF!</f>
        <v>#REF!</v>
      </c>
      <c r="L61" s="160" t="e">
        <f>#REF!</f>
        <v>#REF!</v>
      </c>
      <c r="M61" s="160" t="e">
        <f>#REF!</f>
        <v>#REF!</v>
      </c>
      <c r="N61" s="160" t="e">
        <f>#REF!</f>
        <v>#REF!</v>
      </c>
      <c r="O61" s="160" t="e">
        <f>#REF!</f>
        <v>#REF!</v>
      </c>
      <c r="P61" s="161" t="e">
        <f>#REF!</f>
        <v>#REF!</v>
      </c>
      <c r="Q61"/>
      <c r="R61"/>
      <c r="S61"/>
      <c r="T61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3"/>
      <c r="BA61" s="163"/>
      <c r="BB61" s="163"/>
      <c r="BC61" s="163"/>
      <c r="BD61" s="163"/>
      <c r="BE61" s="163"/>
      <c r="BF61" s="163"/>
      <c r="BG61" s="163"/>
      <c r="BH61" s="163"/>
      <c r="BI61" s="163"/>
      <c r="BJ61" s="163"/>
      <c r="BK61" s="163"/>
      <c r="BL61" s="163"/>
      <c r="BM61" s="163"/>
      <c r="BN61" s="163"/>
      <c r="BO61" s="163"/>
      <c r="BP61" s="163"/>
      <c r="BQ61" s="163"/>
      <c r="BR61" s="163"/>
      <c r="BS61" s="163"/>
      <c r="BT61" s="163"/>
      <c r="BU61" s="163"/>
      <c r="BV61" s="163"/>
    </row>
    <row r="62" spans="1:74" s="178" customFormat="1" ht="13">
      <c r="A62" s="650"/>
      <c r="B62" s="179" t="s">
        <v>164</v>
      </c>
      <c r="C62" s="180" t="e">
        <f>SUM(C54:C61)</f>
        <v>#REF!</v>
      </c>
      <c r="D62" s="180" t="e">
        <f t="shared" ref="D62:O62" si="11">SUM(D54:D61)</f>
        <v>#REF!</v>
      </c>
      <c r="E62" s="180" t="e">
        <f t="shared" si="11"/>
        <v>#REF!</v>
      </c>
      <c r="F62" s="180" t="e">
        <f t="shared" si="11"/>
        <v>#REF!</v>
      </c>
      <c r="G62" s="180" t="e">
        <f t="shared" si="11"/>
        <v>#REF!</v>
      </c>
      <c r="H62" s="180" t="e">
        <f t="shared" si="11"/>
        <v>#REF!</v>
      </c>
      <c r="I62" s="180" t="e">
        <f t="shared" si="11"/>
        <v>#REF!</v>
      </c>
      <c r="J62" s="180" t="e">
        <f t="shared" si="11"/>
        <v>#REF!</v>
      </c>
      <c r="K62" s="180" t="e">
        <f t="shared" si="11"/>
        <v>#REF!</v>
      </c>
      <c r="L62" s="180" t="e">
        <f>SUM(L54:L61)</f>
        <v>#REF!</v>
      </c>
      <c r="M62" s="180" t="e">
        <f t="shared" si="11"/>
        <v>#REF!</v>
      </c>
      <c r="N62" s="180" t="e">
        <f t="shared" si="11"/>
        <v>#REF!</v>
      </c>
      <c r="O62" s="180" t="e">
        <f t="shared" si="11"/>
        <v>#REF!</v>
      </c>
      <c r="P62" s="180" t="e">
        <f>SUM(P54:P61)</f>
        <v>#REF!</v>
      </c>
      <c r="Q62"/>
      <c r="R62"/>
      <c r="S62"/>
      <c r="T62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  <c r="AO62" s="163"/>
      <c r="AP62" s="163"/>
      <c r="AQ62" s="163"/>
      <c r="AR62" s="163"/>
      <c r="AS62" s="163"/>
      <c r="AT62" s="163"/>
      <c r="AU62" s="163"/>
      <c r="AV62" s="163"/>
      <c r="AW62" s="163"/>
      <c r="AX62" s="163"/>
      <c r="AY62" s="163"/>
      <c r="AZ62" s="163"/>
      <c r="BA62" s="163"/>
      <c r="BB62" s="163"/>
      <c r="BC62" s="163"/>
      <c r="BD62" s="163"/>
      <c r="BE62" s="163"/>
      <c r="BF62" s="163"/>
      <c r="BG62" s="163"/>
      <c r="BH62" s="163"/>
      <c r="BI62" s="163"/>
      <c r="BJ62" s="163"/>
      <c r="BK62" s="163"/>
      <c r="BL62" s="163"/>
      <c r="BM62" s="163"/>
      <c r="BN62" s="163"/>
      <c r="BO62" s="163"/>
      <c r="BP62" s="163"/>
      <c r="BQ62" s="163"/>
      <c r="BR62" s="163"/>
      <c r="BS62" s="163"/>
      <c r="BT62" s="163"/>
      <c r="BU62" s="163"/>
      <c r="BV62" s="163"/>
    </row>
    <row r="63" spans="1:74" s="162" customFormat="1" ht="12.75" customHeight="1">
      <c r="A63" s="181"/>
      <c r="B63" s="182" t="s">
        <v>163</v>
      </c>
      <c r="C63" s="183" t="e">
        <f>C53+C62</f>
        <v>#REF!</v>
      </c>
      <c r="D63" s="183" t="e">
        <f t="shared" ref="D63:O63" si="12">D53+D62</f>
        <v>#REF!</v>
      </c>
      <c r="E63" s="183" t="e">
        <f t="shared" si="12"/>
        <v>#REF!</v>
      </c>
      <c r="F63" s="183" t="e">
        <f t="shared" si="12"/>
        <v>#REF!</v>
      </c>
      <c r="G63" s="183" t="e">
        <f t="shared" si="12"/>
        <v>#REF!</v>
      </c>
      <c r="H63" s="183" t="e">
        <f t="shared" si="12"/>
        <v>#REF!</v>
      </c>
      <c r="I63" s="183" t="e">
        <f t="shared" si="12"/>
        <v>#REF!</v>
      </c>
      <c r="J63" s="183" t="e">
        <f t="shared" si="12"/>
        <v>#REF!</v>
      </c>
      <c r="K63" s="183" t="e">
        <f t="shared" si="12"/>
        <v>#REF!</v>
      </c>
      <c r="L63" s="183" t="e">
        <f t="shared" si="12"/>
        <v>#REF!</v>
      </c>
      <c r="M63" s="183" t="e">
        <f t="shared" si="12"/>
        <v>#REF!</v>
      </c>
      <c r="N63" s="183" t="e">
        <f t="shared" si="12"/>
        <v>#REF!</v>
      </c>
      <c r="O63" s="183" t="e">
        <f t="shared" si="12"/>
        <v>#REF!</v>
      </c>
      <c r="P63" s="183" t="e">
        <f t="shared" ref="P63" si="13">P53+P62</f>
        <v>#REF!</v>
      </c>
      <c r="Q63"/>
      <c r="R63"/>
      <c r="S63"/>
      <c r="T63"/>
    </row>
    <row r="64" spans="1:74" ht="12.75" customHeight="1">
      <c r="A64" s="125"/>
      <c r="B64" s="86"/>
      <c r="C64" s="89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</row>
  </sheetData>
  <mergeCells count="9">
    <mergeCell ref="I2:K2"/>
    <mergeCell ref="H25:I25"/>
    <mergeCell ref="L25:M25"/>
    <mergeCell ref="G26:I26"/>
    <mergeCell ref="C45:E45"/>
    <mergeCell ref="A54:A62"/>
    <mergeCell ref="A47:A53"/>
    <mergeCell ref="A46:B46"/>
    <mergeCell ref="D1:G1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3"/>
  <sheetViews>
    <sheetView topLeftCell="A13" workbookViewId="0">
      <selection activeCell="C78" sqref="C78"/>
    </sheetView>
  </sheetViews>
  <sheetFormatPr baseColWidth="10" defaultRowHeight="12.5"/>
  <cols>
    <col min="1" max="1" width="32.54296875" bestFit="1" customWidth="1"/>
    <col min="2" max="2" width="16.54296875" bestFit="1" customWidth="1"/>
    <col min="3" max="4" width="13" bestFit="1" customWidth="1"/>
    <col min="5" max="5" width="20.1796875" bestFit="1" customWidth="1"/>
    <col min="6" max="6" width="21.453125" bestFit="1" customWidth="1"/>
    <col min="7" max="7" width="20.81640625" bestFit="1" customWidth="1"/>
    <col min="8" max="8" width="21.453125" bestFit="1" customWidth="1"/>
  </cols>
  <sheetData>
    <row r="2" spans="1:8">
      <c r="A2" s="314" t="s">
        <v>372</v>
      </c>
    </row>
    <row r="3" spans="1:8" ht="13" thickBot="1"/>
    <row r="4" spans="1:8" ht="14.5" thickBot="1">
      <c r="A4" s="221" t="s">
        <v>229</v>
      </c>
      <c r="B4" s="222" t="s">
        <v>0</v>
      </c>
      <c r="C4" s="222" t="s">
        <v>1</v>
      </c>
      <c r="D4" s="222" t="s">
        <v>2</v>
      </c>
      <c r="E4" s="222" t="s">
        <v>12</v>
      </c>
      <c r="F4" s="222" t="s">
        <v>109</v>
      </c>
      <c r="G4" s="222" t="s">
        <v>4</v>
      </c>
      <c r="H4" s="222" t="s">
        <v>5</v>
      </c>
    </row>
    <row r="5" spans="1:8" ht="14.5" thickBot="1">
      <c r="A5" s="223" t="s">
        <v>225</v>
      </c>
      <c r="B5" s="224">
        <f>'RECAPTACIÓ HABITATGES'!D18</f>
        <v>220</v>
      </c>
      <c r="C5" s="224">
        <f>'RECAPTACIÓ HABITATGES'!E18</f>
        <v>1973</v>
      </c>
      <c r="D5" s="224">
        <f>'RECAPTACIÓ HABITATGES'!F18</f>
        <v>718</v>
      </c>
      <c r="E5" s="224">
        <f>'RECAPTACIÓ HABITATGES'!G18</f>
        <v>150</v>
      </c>
      <c r="F5" s="224">
        <f>'RECAPTACIÓ HABITATGES'!H18</f>
        <v>404</v>
      </c>
      <c r="G5" s="224">
        <f>'RECAPTACIÓ HABITATGES'!I18</f>
        <v>508</v>
      </c>
      <c r="H5" s="224">
        <f>'RECAPTACIÓ HABITATGES'!J18</f>
        <v>955</v>
      </c>
    </row>
    <row r="6" spans="1:8" ht="14.5" thickBot="1">
      <c r="A6" s="223" t="s">
        <v>301</v>
      </c>
      <c r="B6" s="231">
        <f>'RECAPTACIÓ HABITATGES'!D20</f>
        <v>4.4000000000000004</v>
      </c>
      <c r="C6" s="231">
        <f>'RECAPTACIÓ HABITATGES'!E20</f>
        <v>39.46</v>
      </c>
      <c r="D6" s="231">
        <f>'RECAPTACIÓ HABITATGES'!F20</f>
        <v>14.36</v>
      </c>
      <c r="E6" s="231">
        <f>'RECAPTACIÓ HABITATGES'!G20</f>
        <v>3</v>
      </c>
      <c r="F6" s="231">
        <f>'RECAPTACIÓ HABITATGES'!H20</f>
        <v>8.08</v>
      </c>
      <c r="G6" s="231">
        <f>'RECAPTACIÓ HABITATGES'!I20</f>
        <v>10.16</v>
      </c>
      <c r="H6" s="231">
        <f>'RECAPTACIÓ HABITATGES'!J20</f>
        <v>19.100000000000001</v>
      </c>
    </row>
    <row r="7" spans="1:8" ht="14.5" thickBot="1">
      <c r="A7" s="223" t="s">
        <v>230</v>
      </c>
      <c r="B7" s="225">
        <f>'RECAPTACIÓ HABITATGES'!D23</f>
        <v>182.62929856115107</v>
      </c>
      <c r="C7" s="225">
        <f>'RECAPTACIÓ HABITATGES'!E23</f>
        <v>213.35051693548388</v>
      </c>
      <c r="D7" s="225">
        <f>'RECAPTACIÓ HABITATGES'!F23</f>
        <v>193.30242847938143</v>
      </c>
      <c r="E7" s="225">
        <f>'RECAPTACIÓ HABITATGES'!G23</f>
        <v>215.84246133004925</v>
      </c>
      <c r="F7" s="225">
        <f>'RECAPTACIÓ HABITATGES'!H23</f>
        <v>204.20269617579908</v>
      </c>
      <c r="G7" s="225">
        <f>'RECAPTACIÓ HABITATGES'!I23</f>
        <v>193.07416616257089</v>
      </c>
      <c r="H7" s="225">
        <f>'RECAPTACIÓ HABITATGES'!J23</f>
        <v>191.95746690891474</v>
      </c>
    </row>
    <row r="8" spans="1:8" ht="14.5" thickBot="1">
      <c r="A8" s="223" t="s">
        <v>213</v>
      </c>
      <c r="B8" s="225">
        <f>'RECAPTACIÓ HABITATGES'!D24</f>
        <v>54.788789568345322</v>
      </c>
      <c r="C8" s="225">
        <f>'RECAPTACIÓ HABITATGES'!E24</f>
        <v>64.005155080645167</v>
      </c>
      <c r="D8" s="225">
        <f>'RECAPTACIÓ HABITATGES'!F24</f>
        <v>57.990728543814427</v>
      </c>
      <c r="E8" s="225">
        <f>'RECAPTACIÓ HABITATGES'!G24</f>
        <v>64.752738399014774</v>
      </c>
      <c r="F8" s="225">
        <f>'RECAPTACIÓ HABITATGES'!H24</f>
        <v>61.260808852739721</v>
      </c>
      <c r="G8" s="225">
        <f>'RECAPTACIÓ HABITATGES'!I24</f>
        <v>57.922249848771266</v>
      </c>
      <c r="H8" s="225">
        <f>'RECAPTACIÓ HABITATGES'!J24</f>
        <v>57.587240072674419</v>
      </c>
    </row>
    <row r="9" spans="1:8" ht="14.5" thickBot="1">
      <c r="A9" s="226" t="s">
        <v>231</v>
      </c>
      <c r="B9" s="227">
        <f>'RECAPTACIÓ HABITATGES'!D25</f>
        <v>39937.375009352516</v>
      </c>
      <c r="C9" s="227">
        <f>'RECAPTACIÓ HABITATGES'!E25</f>
        <v>418414.92649422743</v>
      </c>
      <c r="D9" s="227">
        <f>'RECAPTACIÓ HABITATGES'!F25</f>
        <v>137958.39678630669</v>
      </c>
      <c r="E9" s="227">
        <f>'RECAPTACIÓ HABITATGES'!G25</f>
        <v>32182.110984310344</v>
      </c>
      <c r="F9" s="227">
        <f>'RECAPTACIÓ HABITATGES'!H25</f>
        <v>82002.901919492695</v>
      </c>
      <c r="G9" s="227">
        <f>'RECAPTACIÓ HABITATGES'!I25</f>
        <v>97493.186352122488</v>
      </c>
      <c r="H9" s="227">
        <f>'RECAPTACIÓ HABITATGES'!J25</f>
        <v>182219.46461262551</v>
      </c>
    </row>
    <row r="10" spans="1:8" ht="14.5" thickBot="1">
      <c r="A10" s="228" t="s">
        <v>229</v>
      </c>
      <c r="B10" s="229" t="s">
        <v>6</v>
      </c>
      <c r="C10" s="229" t="s">
        <v>8</v>
      </c>
      <c r="D10" s="229" t="s">
        <v>9</v>
      </c>
      <c r="E10" s="229" t="s">
        <v>10</v>
      </c>
      <c r="F10" s="229" t="s">
        <v>11</v>
      </c>
      <c r="G10" s="229" t="s">
        <v>110</v>
      </c>
      <c r="H10" s="230" t="s">
        <v>232</v>
      </c>
    </row>
    <row r="11" spans="1:8" ht="14.5" thickBot="1">
      <c r="A11" s="223" t="s">
        <v>225</v>
      </c>
      <c r="B11" s="224">
        <f>'RECAPTACIÓ HABITATGES'!K18</f>
        <v>153</v>
      </c>
      <c r="C11" s="224">
        <f>'RECAPTACIÓ HABITATGES'!L18</f>
        <v>1483</v>
      </c>
      <c r="D11" s="224">
        <f>'RECAPTACIÓ HABITATGES'!N18</f>
        <v>1294</v>
      </c>
      <c r="E11" s="224">
        <f>'RECAPTACIÓ HABITATGES'!O18</f>
        <v>230</v>
      </c>
      <c r="F11" s="224">
        <f>'RECAPTACIÓ HABITATGES'!P18</f>
        <v>1338</v>
      </c>
      <c r="G11" s="224">
        <f>'RECAPTACIÓ HABITATGES'!Q18</f>
        <v>2194</v>
      </c>
      <c r="H11" s="224">
        <f>'RECAPTACIÓ HABITATGES'!R18</f>
        <v>11701</v>
      </c>
    </row>
    <row r="12" spans="1:8" ht="14.5" thickBot="1">
      <c r="A12" s="223" t="s">
        <v>301</v>
      </c>
      <c r="B12" s="224">
        <f>'RECAPTACIÓ HABITATGES'!K20</f>
        <v>3.06</v>
      </c>
      <c r="C12" s="224">
        <f>'RECAPTACIÓ HABITATGES'!L20</f>
        <v>29.66</v>
      </c>
      <c r="D12" s="224">
        <f>'RECAPTACIÓ HABITATGES'!N20</f>
        <v>25.88</v>
      </c>
      <c r="E12" s="224">
        <f>'RECAPTACIÓ HABITATGES'!O20</f>
        <v>4.6000000000000005</v>
      </c>
      <c r="F12" s="224">
        <f>'RECAPTACIÓ HABITATGES'!P20</f>
        <v>26.76</v>
      </c>
      <c r="G12" s="224">
        <f>'RECAPTACIÓ HABITATGES'!Q20</f>
        <v>43.88</v>
      </c>
      <c r="H12" s="224">
        <f>'RECAPTACIÓ HABITATGES'!R20</f>
        <v>234.02</v>
      </c>
    </row>
    <row r="13" spans="1:8" ht="14.5" thickBot="1">
      <c r="A13" s="223" t="s">
        <v>230</v>
      </c>
      <c r="B13" s="225">
        <f>'RECAPTACIÓ HABITATGES'!K23</f>
        <v>196.04838284023668</v>
      </c>
      <c r="C13" s="225">
        <f>'RECAPTACIÓ HABITATGES'!L23</f>
        <v>186.65057912087912</v>
      </c>
      <c r="D13" s="225">
        <f>'RECAPTACIÓ HABITATGES'!N23</f>
        <v>209.4132933114754</v>
      </c>
      <c r="E13" s="225">
        <f>'RECAPTACIÓ HABITATGES'!O23</f>
        <v>190.68371926406928</v>
      </c>
      <c r="F13" s="225">
        <f>'RECAPTACIÓ HABITATGES'!P23</f>
        <v>203.90818045614037</v>
      </c>
      <c r="G13" s="225">
        <f>'RECAPTACIÓ HABITATGES'!Q23</f>
        <v>193.13112226962764</v>
      </c>
      <c r="H13" s="225"/>
    </row>
    <row r="14" spans="1:8" ht="14.5" thickBot="1">
      <c r="A14" s="223" t="s">
        <v>213</v>
      </c>
      <c r="B14" s="225">
        <f>'RECAPTACIÓ HABITATGES'!K24</f>
        <v>58.814514852070999</v>
      </c>
      <c r="C14" s="225">
        <f>'RECAPTACIÓ HABITATGES'!L24</f>
        <v>55.99517373626373</v>
      </c>
      <c r="D14" s="225">
        <f>'RECAPTACIÓ HABITATGES'!N24</f>
        <v>62.823987993442614</v>
      </c>
      <c r="E14" s="225">
        <f>'RECAPTACIÓ HABITATGES'!O24</f>
        <v>57.205115779220783</v>
      </c>
      <c r="F14" s="225">
        <f>'RECAPTACIÓ HABITATGES'!P24</f>
        <v>61.172454136842106</v>
      </c>
      <c r="G14" s="225">
        <f>'RECAPTACIÓ HABITATGES'!Q24</f>
        <v>57.939336680888289</v>
      </c>
      <c r="H14" s="225"/>
    </row>
    <row r="15" spans="1:8" ht="14.5" thickBot="1">
      <c r="A15" s="226" t="s">
        <v>231</v>
      </c>
      <c r="B15" s="227">
        <f>'RECAPTACIÓ HABITATGES'!K25</f>
        <v>29815.430159108877</v>
      </c>
      <c r="C15" s="227">
        <f>'RECAPTACIÓ HABITATGES'!L25</f>
        <v>275141.99198324612</v>
      </c>
      <c r="D15" s="227">
        <f>'RECAPTACIÓ HABITATGES'!N25</f>
        <v>269354.91673577885</v>
      </c>
      <c r="E15" s="227">
        <f>'RECAPTACIÓ HABITATGES'!O25</f>
        <v>43594.111898151517</v>
      </c>
      <c r="F15" s="227">
        <f>'RECAPTACIÓ HABITATGES'!P25</f>
        <v>271192.17057761393</v>
      </c>
      <c r="G15" s="227">
        <f>'RECAPTACIÓ HABITATGES'!Q25</f>
        <v>421187.30416600569</v>
      </c>
      <c r="H15" s="227">
        <f>'RECAPTACIÓ HABITATGES'!R25</f>
        <v>2316411.3534107422</v>
      </c>
    </row>
    <row r="18" spans="1:8">
      <c r="A18" s="314" t="s">
        <v>106</v>
      </c>
    </row>
    <row r="19" spans="1:8" ht="13" thickBot="1"/>
    <row r="20" spans="1:8" ht="14.5" thickBot="1">
      <c r="A20" s="221" t="s">
        <v>229</v>
      </c>
      <c r="B20" s="222" t="s">
        <v>0</v>
      </c>
      <c r="C20" s="222" t="s">
        <v>1</v>
      </c>
      <c r="D20" s="222" t="s">
        <v>2</v>
      </c>
      <c r="E20" s="222" t="s">
        <v>12</v>
      </c>
      <c r="F20" s="222" t="s">
        <v>109</v>
      </c>
      <c r="G20" s="222" t="s">
        <v>4</v>
      </c>
      <c r="H20" s="222" t="s">
        <v>5</v>
      </c>
    </row>
    <row r="21" spans="1:8" ht="14.5" thickBot="1">
      <c r="A21" s="223" t="s">
        <v>224</v>
      </c>
      <c r="B21" s="224">
        <f>'RECAPTACIÓ HABITATGES'!D19</f>
        <v>64</v>
      </c>
      <c r="C21" s="224">
        <f>'RECAPTACIÓ HABITATGES'!E19</f>
        <v>157</v>
      </c>
      <c r="D21" s="224">
        <f>'RECAPTACIÓ HABITATGES'!F19</f>
        <v>71</v>
      </c>
      <c r="E21" s="224">
        <f>'RECAPTACIÓ HABITATGES'!G19</f>
        <v>50</v>
      </c>
      <c r="F21" s="224">
        <f>'RECAPTACIÓ HABITATGES'!H19</f>
        <v>28</v>
      </c>
      <c r="G21" s="224">
        <f>'RECAPTACIÓ HABITATGES'!I19</f>
        <v>19</v>
      </c>
      <c r="H21" s="224">
        <f>'RECAPTACIÓ HABITATGES'!J19</f>
        <v>97</v>
      </c>
    </row>
    <row r="22" spans="1:8" ht="14.5" thickBot="1">
      <c r="A22" s="223" t="s">
        <v>301</v>
      </c>
      <c r="B22" s="231">
        <f>'RECAPTACIÓ HABITATGES'!D21</f>
        <v>1.28</v>
      </c>
      <c r="C22" s="231">
        <f>'RECAPTACIÓ HABITATGES'!E21</f>
        <v>3.14</v>
      </c>
      <c r="D22" s="231">
        <f>'RECAPTACIÓ HABITATGES'!F21</f>
        <v>1.42</v>
      </c>
      <c r="E22" s="231">
        <f>'RECAPTACIÓ HABITATGES'!G21</f>
        <v>1</v>
      </c>
      <c r="F22" s="231">
        <f>'RECAPTACIÓ HABITATGES'!H21</f>
        <v>0.56000000000000005</v>
      </c>
      <c r="G22" s="231">
        <f>'RECAPTACIÓ HABITATGES'!I21</f>
        <v>0.38</v>
      </c>
      <c r="H22" s="231">
        <f>'RECAPTACIÓ HABITATGES'!J21</f>
        <v>1.94</v>
      </c>
    </row>
    <row r="23" spans="1:8" ht="14.5" thickBot="1">
      <c r="A23" s="223" t="s">
        <v>230</v>
      </c>
      <c r="B23" s="225">
        <f>'RECAPTACIÓ HABITATGES'!D27</f>
        <v>135.62929856115107</v>
      </c>
      <c r="C23" s="225">
        <f>'RECAPTACIÓ HABITATGES'!E27</f>
        <v>166.35051693548388</v>
      </c>
      <c r="D23" s="225">
        <f>'RECAPTACIÓ HABITATGES'!F27</f>
        <v>146.30242847938143</v>
      </c>
      <c r="E23" s="225">
        <f>'RECAPTACIÓ HABITATGES'!G27</f>
        <v>168.84246133004925</v>
      </c>
      <c r="F23" s="225">
        <f>'RECAPTACIÓ HABITATGES'!H27</f>
        <v>157.20269617579908</v>
      </c>
      <c r="G23" s="225">
        <f>'RECAPTACIÓ HABITATGES'!I27</f>
        <v>146.07416616257089</v>
      </c>
      <c r="H23" s="225">
        <f>'RECAPTACIÓ HABITATGES'!J27</f>
        <v>144.95746690891474</v>
      </c>
    </row>
    <row r="24" spans="1:8" ht="14.5" thickBot="1">
      <c r="A24" s="223" t="s">
        <v>213</v>
      </c>
      <c r="B24" s="225">
        <f>'RECAPTACIÓ HABITATGES'!D28</f>
        <v>40.688789568345321</v>
      </c>
      <c r="C24" s="225">
        <f>'RECAPTACIÓ HABITATGES'!E28</f>
        <v>49.905155080645166</v>
      </c>
      <c r="D24" s="225">
        <f>'RECAPTACIÓ HABITATGES'!F28</f>
        <v>43.890728543814426</v>
      </c>
      <c r="E24" s="225">
        <f>'RECAPTACIÓ HABITATGES'!G28</f>
        <v>50.652738399014773</v>
      </c>
      <c r="F24" s="225">
        <f>'RECAPTACIÓ HABITATGES'!H28</f>
        <v>47.16080885273972</v>
      </c>
      <c r="G24" s="225">
        <f>'RECAPTACIÓ HABITATGES'!I28</f>
        <v>43.822249848771264</v>
      </c>
      <c r="H24" s="225">
        <f>'RECAPTACIÓ HABITATGES'!J28</f>
        <v>43.487240072674417</v>
      </c>
    </row>
    <row r="25" spans="1:8" ht="14.5" thickBot="1">
      <c r="A25" s="226" t="s">
        <v>231</v>
      </c>
      <c r="B25" s="227">
        <f>'RECAPTACIÓ HABITATGES'!D29</f>
        <v>8628.1934572661867</v>
      </c>
      <c r="C25" s="227">
        <f>'RECAPTACIÓ HABITATGES'!E29</f>
        <v>25960.328971917748</v>
      </c>
      <c r="D25" s="227">
        <f>'RECAPTACIÓ HABITATGES'!F29</f>
        <v>10325.147587503865</v>
      </c>
      <c r="E25" s="227">
        <f>'RECAPTACIÓ HABITATGES'!G29</f>
        <v>8391.4703281034472</v>
      </c>
      <c r="F25" s="227">
        <f>'RECAPTACIÓ HABITATGES'!H29</f>
        <v>4375.26543996484</v>
      </c>
      <c r="G25" s="227">
        <f>'RECAPTACIÓ HABITATGES'!I29</f>
        <v>2758.7567021463142</v>
      </c>
      <c r="H25" s="227">
        <f>'RECAPTACIÓ HABITATGES'!J29</f>
        <v>13976.509044423741</v>
      </c>
    </row>
    <row r="26" spans="1:8" ht="14.5" thickBot="1">
      <c r="A26" s="228" t="s">
        <v>229</v>
      </c>
      <c r="B26" s="229" t="s">
        <v>6</v>
      </c>
      <c r="C26" s="229" t="s">
        <v>8</v>
      </c>
      <c r="D26" s="229" t="s">
        <v>9</v>
      </c>
      <c r="E26" s="229" t="s">
        <v>10</v>
      </c>
      <c r="F26" s="229" t="s">
        <v>11</v>
      </c>
      <c r="G26" s="229" t="s">
        <v>110</v>
      </c>
      <c r="H26" s="230" t="s">
        <v>232</v>
      </c>
    </row>
    <row r="27" spans="1:8" ht="14.5" thickBot="1">
      <c r="A27" s="223" t="s">
        <v>224</v>
      </c>
      <c r="B27" s="231">
        <f>'RECAPTACIÓ HABITATGES'!K19</f>
        <v>0</v>
      </c>
      <c r="C27" s="231">
        <f>'RECAPTACIÓ HABITATGES'!L19</f>
        <v>96</v>
      </c>
      <c r="D27" s="231">
        <f>'RECAPTACIÓ HABITATGES'!N19</f>
        <v>269</v>
      </c>
      <c r="E27" s="231">
        <f>'RECAPTACIÓ HABITATGES'!O19</f>
        <v>0</v>
      </c>
      <c r="F27" s="231">
        <f>'RECAPTACIÓ HABITATGES'!P19</f>
        <v>72</v>
      </c>
      <c r="G27" s="231">
        <f>'RECAPTACIÓ HABITATGES'!Q19</f>
        <v>26</v>
      </c>
      <c r="H27" s="231">
        <f>'RECAPTACIÓ HABITATGES'!R19</f>
        <v>949</v>
      </c>
    </row>
    <row r="28" spans="1:8" ht="14.5" thickBot="1">
      <c r="A28" s="223" t="s">
        <v>301</v>
      </c>
      <c r="B28" s="231">
        <f>'RECAPTACIÓ HABITATGES'!K21</f>
        <v>0</v>
      </c>
      <c r="C28" s="231">
        <f>'RECAPTACIÓ HABITATGES'!L21</f>
        <v>1.92</v>
      </c>
      <c r="D28" s="231">
        <f>'RECAPTACIÓ HABITATGES'!N21</f>
        <v>5.38</v>
      </c>
      <c r="E28" s="231">
        <f>'RECAPTACIÓ HABITATGES'!O21</f>
        <v>0</v>
      </c>
      <c r="F28" s="231">
        <f>'RECAPTACIÓ HABITATGES'!P21</f>
        <v>1.44</v>
      </c>
      <c r="G28" s="231">
        <f>'RECAPTACIÓ HABITATGES'!Q21</f>
        <v>0.52</v>
      </c>
      <c r="H28" s="231">
        <f>'RECAPTACIÓ HABITATGES'!R21</f>
        <v>18.98</v>
      </c>
    </row>
    <row r="29" spans="1:8" ht="14.5" thickBot="1">
      <c r="A29" s="223" t="s">
        <v>230</v>
      </c>
      <c r="B29" s="225">
        <f>'RECAPTACIÓ HABITATGES'!K27</f>
        <v>149.04838284023668</v>
      </c>
      <c r="C29" s="225">
        <f>'RECAPTACIÓ HABITATGES'!L27</f>
        <v>139.65057912087912</v>
      </c>
      <c r="D29" s="225">
        <f>'RECAPTACIÓ HABITATGES'!N27</f>
        <v>162.4132933114754</v>
      </c>
      <c r="E29" s="225">
        <f>'RECAPTACIÓ HABITATGES'!O27</f>
        <v>143.68371926406928</v>
      </c>
      <c r="F29" s="225">
        <f>'RECAPTACIÓ HABITATGES'!P27</f>
        <v>156.90818045614037</v>
      </c>
      <c r="G29" s="225">
        <f>'RECAPTACIÓ HABITATGES'!Q27</f>
        <v>146.13112226962764</v>
      </c>
      <c r="H29" s="225"/>
    </row>
    <row r="30" spans="1:8" ht="14.5" thickBot="1">
      <c r="A30" s="223" t="s">
        <v>213</v>
      </c>
      <c r="B30" s="225">
        <f>'RECAPTACIÓ HABITATGES'!K28</f>
        <v>44.714514852071005</v>
      </c>
      <c r="C30" s="225">
        <f>'RECAPTACIÓ HABITATGES'!L28</f>
        <v>41.895173736263736</v>
      </c>
      <c r="D30" s="225">
        <f>'RECAPTACIÓ HABITATGES'!N28</f>
        <v>48.72398799344262</v>
      </c>
      <c r="E30" s="225">
        <f>'RECAPTACIÓ HABITATGES'!O28</f>
        <v>43.105115779220782</v>
      </c>
      <c r="F30" s="225">
        <f>'RECAPTACIÓ HABITATGES'!P28</f>
        <v>47.072454136842111</v>
      </c>
      <c r="G30" s="225">
        <f>'RECAPTACIÓ HABITATGES'!Q28</f>
        <v>43.839336680888287</v>
      </c>
      <c r="H30" s="225"/>
    </row>
    <row r="31" spans="1:8" ht="14.5" thickBot="1">
      <c r="A31" s="226" t="s">
        <v>231</v>
      </c>
      <c r="B31" s="227">
        <f>'RECAPTACIÓ HABITATGES'!K29</f>
        <v>0</v>
      </c>
      <c r="C31" s="227">
        <f>'RECAPTACIÓ HABITATGES'!L29</f>
        <v>13326.016862030769</v>
      </c>
      <c r="D31" s="227">
        <f>'RECAPTACIÓ HABITATGES'!N29</f>
        <v>43427.040845382166</v>
      </c>
      <c r="E31" s="227">
        <f>'RECAPTACIÓ HABITATGES'!O29</f>
        <v>0</v>
      </c>
      <c r="F31" s="227">
        <f>'RECAPTACIÓ HABITATGES'!P29</f>
        <v>11229.604658885053</v>
      </c>
      <c r="G31" s="227">
        <f>'RECAPTACIÓ HABITATGES'!Q29</f>
        <v>3776.6127239362568</v>
      </c>
      <c r="H31" s="227">
        <f>'RECAPTACIÓ HABITATGES'!R29</f>
        <v>146174.94662156038</v>
      </c>
    </row>
    <row r="34" spans="1:8">
      <c r="A34" s="314" t="s">
        <v>375</v>
      </c>
    </row>
    <row r="35" spans="1:8" ht="13" thickBot="1"/>
    <row r="36" spans="1:8" ht="14.5" thickBot="1">
      <c r="A36" s="221" t="s">
        <v>229</v>
      </c>
      <c r="B36" s="222" t="s">
        <v>0</v>
      </c>
      <c r="C36" s="222" t="s">
        <v>1</v>
      </c>
      <c r="D36" s="222" t="s">
        <v>2</v>
      </c>
      <c r="E36" s="222" t="s">
        <v>12</v>
      </c>
      <c r="F36" s="222" t="s">
        <v>109</v>
      </c>
      <c r="G36" s="222" t="s">
        <v>4</v>
      </c>
      <c r="H36" s="222" t="s">
        <v>5</v>
      </c>
    </row>
    <row r="37" spans="1:8" ht="14.5" thickBot="1">
      <c r="A37" s="223" t="s">
        <v>376</v>
      </c>
      <c r="B37" s="315">
        <f>B9</f>
        <v>39937.375009352516</v>
      </c>
      <c r="C37" s="315">
        <f t="shared" ref="C37:H37" si="0">C9</f>
        <v>418414.92649422743</v>
      </c>
      <c r="D37" s="315">
        <f t="shared" si="0"/>
        <v>137958.39678630669</v>
      </c>
      <c r="E37" s="315">
        <f t="shared" si="0"/>
        <v>32182.110984310344</v>
      </c>
      <c r="F37" s="315">
        <f t="shared" si="0"/>
        <v>82002.901919492695</v>
      </c>
      <c r="G37" s="315">
        <f t="shared" si="0"/>
        <v>97493.186352122488</v>
      </c>
      <c r="H37" s="315">
        <f t="shared" si="0"/>
        <v>182219.46461262551</v>
      </c>
    </row>
    <row r="38" spans="1:8" ht="14.5" thickBot="1">
      <c r="A38" s="223" t="s">
        <v>377</v>
      </c>
      <c r="B38" s="315">
        <f>B25</f>
        <v>8628.1934572661867</v>
      </c>
      <c r="C38" s="315">
        <f t="shared" ref="C38:H38" si="1">C25</f>
        <v>25960.328971917748</v>
      </c>
      <c r="D38" s="315">
        <f t="shared" si="1"/>
        <v>10325.147587503865</v>
      </c>
      <c r="E38" s="315">
        <f t="shared" si="1"/>
        <v>8391.4703281034472</v>
      </c>
      <c r="F38" s="315">
        <f t="shared" si="1"/>
        <v>4375.26543996484</v>
      </c>
      <c r="G38" s="315">
        <f t="shared" si="1"/>
        <v>2758.7567021463142</v>
      </c>
      <c r="H38" s="315">
        <f t="shared" si="1"/>
        <v>13976.509044423741</v>
      </c>
    </row>
    <row r="39" spans="1:8" ht="14.5" thickBot="1">
      <c r="A39" s="226" t="s">
        <v>231</v>
      </c>
      <c r="B39" s="317">
        <f>SUM(B37:B38)</f>
        <v>48565.568466618701</v>
      </c>
      <c r="C39" s="317">
        <v>441953.28000000003</v>
      </c>
      <c r="D39" s="317">
        <f t="shared" ref="D39:H39" si="2">SUM(D37:D38)</f>
        <v>148283.54437381055</v>
      </c>
      <c r="E39" s="317">
        <f t="shared" si="2"/>
        <v>40573.581312413793</v>
      </c>
      <c r="F39" s="317">
        <f t="shared" si="2"/>
        <v>86378.16735945754</v>
      </c>
      <c r="G39" s="317">
        <f t="shared" si="2"/>
        <v>100251.94305426881</v>
      </c>
      <c r="H39" s="317">
        <f t="shared" si="2"/>
        <v>196195.97365704924</v>
      </c>
    </row>
    <row r="40" spans="1:8" ht="14.5" thickBot="1">
      <c r="A40" s="228" t="s">
        <v>229</v>
      </c>
      <c r="B40" s="229" t="s">
        <v>6</v>
      </c>
      <c r="C40" s="229" t="s">
        <v>8</v>
      </c>
      <c r="D40" s="229" t="s">
        <v>9</v>
      </c>
      <c r="E40" s="229" t="s">
        <v>10</v>
      </c>
      <c r="F40" s="229" t="s">
        <v>11</v>
      </c>
      <c r="G40" s="229" t="s">
        <v>110</v>
      </c>
      <c r="H40" s="230" t="s">
        <v>232</v>
      </c>
    </row>
    <row r="41" spans="1:8" ht="14.5" thickBot="1">
      <c r="A41" s="223" t="s">
        <v>376</v>
      </c>
      <c r="B41" s="315">
        <f>B15</f>
        <v>29815.430159108877</v>
      </c>
      <c r="C41" s="315">
        <f t="shared" ref="C41:G41" si="3">C15</f>
        <v>275141.99198324612</v>
      </c>
      <c r="D41" s="315">
        <f t="shared" si="3"/>
        <v>269354.91673577885</v>
      </c>
      <c r="E41" s="315">
        <f t="shared" si="3"/>
        <v>43594.111898151517</v>
      </c>
      <c r="F41" s="315">
        <f>F15</f>
        <v>271192.17057761393</v>
      </c>
      <c r="G41" s="315">
        <f t="shared" si="3"/>
        <v>421187.30416600569</v>
      </c>
      <c r="H41" s="315">
        <f>H15</f>
        <v>2316411.3534107422</v>
      </c>
    </row>
    <row r="42" spans="1:8" ht="14.5" thickBot="1">
      <c r="A42" s="223" t="s">
        <v>377</v>
      </c>
      <c r="B42" s="315">
        <f>B31</f>
        <v>0</v>
      </c>
      <c r="C42" s="315">
        <f t="shared" ref="C42:H42" si="4">C31</f>
        <v>13326.016862030769</v>
      </c>
      <c r="D42" s="315">
        <f t="shared" si="4"/>
        <v>43427.040845382166</v>
      </c>
      <c r="E42" s="315">
        <f t="shared" si="4"/>
        <v>0</v>
      </c>
      <c r="F42" s="315">
        <f t="shared" si="4"/>
        <v>11229.604658885053</v>
      </c>
      <c r="G42" s="315">
        <f t="shared" si="4"/>
        <v>3776.6127239362568</v>
      </c>
      <c r="H42" s="315">
        <f t="shared" si="4"/>
        <v>146174.94662156038</v>
      </c>
    </row>
    <row r="43" spans="1:8" ht="14.5" thickBot="1">
      <c r="A43" s="226" t="s">
        <v>231</v>
      </c>
      <c r="B43" s="317">
        <f>SUM(B41:B42)</f>
        <v>29815.430159108877</v>
      </c>
      <c r="C43" s="317">
        <f t="shared" ref="C43:G43" si="5">SUM(C41:C42)</f>
        <v>288468.0088452769</v>
      </c>
      <c r="D43" s="317">
        <f t="shared" si="5"/>
        <v>312781.957581161</v>
      </c>
      <c r="E43" s="317">
        <f t="shared" si="5"/>
        <v>43594.111898151517</v>
      </c>
      <c r="F43" s="317">
        <f>SUM(F41:F42)</f>
        <v>282421.77523649897</v>
      </c>
      <c r="G43" s="317">
        <f t="shared" si="5"/>
        <v>424963.91688994196</v>
      </c>
      <c r="H43" s="317">
        <f>H41+H42</f>
        <v>2462586.3000323027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C78" sqref="C78"/>
    </sheetView>
  </sheetViews>
  <sheetFormatPr baseColWidth="10" defaultRowHeight="12.5"/>
  <cols>
    <col min="1" max="1" width="42.453125" bestFit="1" customWidth="1"/>
    <col min="2" max="2" width="14.54296875" bestFit="1" customWidth="1"/>
    <col min="3" max="3" width="14.453125" bestFit="1" customWidth="1"/>
    <col min="4" max="4" width="12.453125" bestFit="1" customWidth="1"/>
    <col min="5" max="5" width="13" bestFit="1" customWidth="1"/>
    <col min="6" max="6" width="21.453125" bestFit="1" customWidth="1"/>
    <col min="7" max="7" width="20.81640625" bestFit="1" customWidth="1"/>
    <col min="8" max="8" width="25.453125" customWidth="1"/>
    <col min="9" max="12" width="17.453125" customWidth="1"/>
  </cols>
  <sheetData>
    <row r="1" spans="1:12" ht="13" thickBot="1">
      <c r="G1" s="665" t="s">
        <v>270</v>
      </c>
      <c r="H1" s="666"/>
      <c r="I1" s="667"/>
    </row>
    <row r="2" spans="1:12" ht="14.5" thickBot="1">
      <c r="A2" s="680" t="s">
        <v>233</v>
      </c>
      <c r="B2" s="681"/>
      <c r="C2" s="681"/>
      <c r="D2" s="681"/>
      <c r="E2" s="682"/>
      <c r="G2" s="668"/>
      <c r="H2" s="669"/>
      <c r="I2" s="670"/>
    </row>
    <row r="3" spans="1:12" ht="28.5" thickBot="1">
      <c r="A3" s="247" t="s">
        <v>234</v>
      </c>
      <c r="B3" s="248" t="s">
        <v>235</v>
      </c>
      <c r="C3" s="249" t="s">
        <v>147</v>
      </c>
      <c r="D3" s="249" t="s">
        <v>236</v>
      </c>
      <c r="E3" s="249" t="s">
        <v>237</v>
      </c>
    </row>
    <row r="4" spans="1:12" ht="14.5" thickBot="1">
      <c r="A4" s="232" t="s">
        <v>238</v>
      </c>
      <c r="B4" s="233">
        <f>'RECAPTACIÓ HABITATGES'!B52</f>
        <v>6.5000000000000002E-2</v>
      </c>
      <c r="C4" s="235">
        <f>'RECAPTACIÓ HABITATGES'!C52</f>
        <v>760.56500000000005</v>
      </c>
      <c r="D4" s="234">
        <f>'RECAPTACIÓ HABITATGES'!D52</f>
        <v>35</v>
      </c>
      <c r="E4" s="234">
        <f>'RECAPTACIÓ HABITATGES'!E52</f>
        <v>26619.775000000001</v>
      </c>
      <c r="G4" s="162"/>
      <c r="H4" s="162"/>
      <c r="I4" s="217" t="s">
        <v>208</v>
      </c>
      <c r="J4" s="217" t="s">
        <v>209</v>
      </c>
      <c r="K4" s="217" t="s">
        <v>210</v>
      </c>
      <c r="L4" s="217" t="s">
        <v>211</v>
      </c>
    </row>
    <row r="5" spans="1:12" ht="28.5" thickBot="1">
      <c r="A5" s="232" t="s">
        <v>239</v>
      </c>
      <c r="B5" s="233">
        <f>'RECAPTACIÓ HABITATGES'!B53</f>
        <v>0</v>
      </c>
      <c r="C5" s="235">
        <f>'RECAPTACIÓ HABITATGES'!C53</f>
        <v>0</v>
      </c>
      <c r="D5" s="234">
        <f>'RECAPTACIÓ HABITATGES'!D53</f>
        <v>25</v>
      </c>
      <c r="E5" s="234">
        <f>'RECAPTACIÓ HABITATGES'!E53</f>
        <v>0</v>
      </c>
      <c r="G5" s="241"/>
      <c r="H5" s="242" t="s">
        <v>373</v>
      </c>
      <c r="I5" s="242" t="s">
        <v>260</v>
      </c>
      <c r="J5" s="242" t="s">
        <v>261</v>
      </c>
      <c r="K5" s="242" t="s">
        <v>262</v>
      </c>
      <c r="L5" s="242" t="s">
        <v>263</v>
      </c>
    </row>
    <row r="6" spans="1:12" ht="14.5" thickBot="1">
      <c r="A6" s="232" t="s">
        <v>240</v>
      </c>
      <c r="B6" s="233">
        <f>'RECAPTACIÓ HABITATGES'!B54</f>
        <v>0</v>
      </c>
      <c r="C6" s="235">
        <f>'RECAPTACIÓ HABITATGES'!C54</f>
        <v>0</v>
      </c>
      <c r="D6" s="234">
        <f>'RECAPTACIÓ HABITATGES'!D54</f>
        <v>10</v>
      </c>
      <c r="E6" s="234">
        <f>'RECAPTACIÓ HABITATGES'!E54</f>
        <v>0</v>
      </c>
      <c r="G6" s="653" t="s">
        <v>264</v>
      </c>
      <c r="H6" s="655">
        <v>156</v>
      </c>
      <c r="I6" s="245" t="s">
        <v>265</v>
      </c>
      <c r="J6" s="245" t="s">
        <v>98</v>
      </c>
      <c r="K6" s="245" t="s">
        <v>266</v>
      </c>
      <c r="L6" s="245" t="s">
        <v>87</v>
      </c>
    </row>
    <row r="7" spans="1:12" ht="14.5" thickBot="1">
      <c r="A7" s="232" t="s">
        <v>241</v>
      </c>
      <c r="B7" s="233">
        <f>'RECAPTACIÓ HABITATGES'!B55</f>
        <v>0.93500000000000005</v>
      </c>
      <c r="C7" s="235">
        <f>'RECAPTACIÓ HABITATGES'!C55</f>
        <v>10940.435000000001</v>
      </c>
      <c r="D7" s="234">
        <f>'RECAPTACIÓ HABITATGES'!D55</f>
        <v>0</v>
      </c>
      <c r="E7" s="234">
        <f>'RECAPTACIÓ HABITATGES'!E55</f>
        <v>0</v>
      </c>
      <c r="G7" s="654"/>
      <c r="H7" s="656"/>
      <c r="I7" s="246">
        <v>35</v>
      </c>
      <c r="J7" s="246">
        <v>25</v>
      </c>
      <c r="K7" s="246">
        <v>10</v>
      </c>
      <c r="L7" s="246">
        <v>0</v>
      </c>
    </row>
    <row r="8" spans="1:12" ht="14.5" thickBot="1">
      <c r="A8" s="677" t="s">
        <v>242</v>
      </c>
      <c r="B8" s="678"/>
      <c r="C8" s="678"/>
      <c r="D8" s="679"/>
      <c r="E8" s="236">
        <f>SUM(E4:E7)</f>
        <v>26619.775000000001</v>
      </c>
      <c r="G8" s="653" t="s">
        <v>220</v>
      </c>
      <c r="H8" s="655">
        <v>104</v>
      </c>
      <c r="I8" s="245" t="s">
        <v>90</v>
      </c>
      <c r="J8" s="245" t="s">
        <v>100</v>
      </c>
      <c r="K8" s="245" t="s">
        <v>402</v>
      </c>
      <c r="L8" s="245" t="s">
        <v>403</v>
      </c>
    </row>
    <row r="9" spans="1:12" ht="28.5" thickBot="1">
      <c r="A9" s="247" t="s">
        <v>243</v>
      </c>
      <c r="B9" s="248" t="s">
        <v>235</v>
      </c>
      <c r="C9" s="249" t="s">
        <v>147</v>
      </c>
      <c r="D9" s="249" t="s">
        <v>236</v>
      </c>
      <c r="E9" s="249" t="s">
        <v>237</v>
      </c>
      <c r="G9" s="654"/>
      <c r="H9" s="656"/>
      <c r="I9" s="246">
        <v>20</v>
      </c>
      <c r="J9" s="246">
        <v>15</v>
      </c>
      <c r="K9" s="246">
        <v>5</v>
      </c>
      <c r="L9" s="246">
        <v>0</v>
      </c>
    </row>
    <row r="10" spans="1:12" ht="14.5" thickBot="1">
      <c r="A10" s="232" t="s">
        <v>238</v>
      </c>
      <c r="B10" s="233">
        <f>'RECAPTACIÓ HABITATGES'!B57</f>
        <v>6.5000000000000002E-2</v>
      </c>
      <c r="C10" s="235">
        <f>'RECAPTACIÓ HABITATGES'!C57</f>
        <v>760.56500000000005</v>
      </c>
      <c r="D10" s="234">
        <f>'RECAPTACIÓ HABITATGES'!D57</f>
        <v>20</v>
      </c>
      <c r="E10" s="234">
        <f>'RECAPTACIÓ HABITATGES'!E57</f>
        <v>15211.300000000001</v>
      </c>
      <c r="G10" s="653" t="s">
        <v>222</v>
      </c>
      <c r="H10" s="655">
        <v>26</v>
      </c>
      <c r="I10" s="245" t="s">
        <v>90</v>
      </c>
      <c r="J10" s="671" t="s">
        <v>91</v>
      </c>
      <c r="K10" s="672"/>
      <c r="L10" s="245" t="s">
        <v>81</v>
      </c>
    </row>
    <row r="11" spans="1:12" ht="14.5" thickBot="1">
      <c r="A11" s="232" t="s">
        <v>239</v>
      </c>
      <c r="B11" s="233">
        <f>'RECAPTACIÓ HABITATGES'!B58</f>
        <v>0</v>
      </c>
      <c r="C11" s="235">
        <f>'RECAPTACIÓ HABITATGES'!C58</f>
        <v>0</v>
      </c>
      <c r="D11" s="234">
        <f>'RECAPTACIÓ HABITATGES'!D58</f>
        <v>15</v>
      </c>
      <c r="E11" s="234">
        <f>'RECAPTACIÓ HABITATGES'!E58</f>
        <v>0</v>
      </c>
      <c r="G11" s="654"/>
      <c r="H11" s="656"/>
      <c r="I11" s="246">
        <v>50</v>
      </c>
      <c r="J11" s="673">
        <v>20</v>
      </c>
      <c r="K11" s="674"/>
      <c r="L11" s="246">
        <v>0</v>
      </c>
    </row>
    <row r="12" spans="1:12" ht="14.5" thickBot="1">
      <c r="A12" s="232" t="s">
        <v>240</v>
      </c>
      <c r="B12" s="233">
        <f>'RECAPTACIÓ HABITATGES'!B59</f>
        <v>0</v>
      </c>
      <c r="C12" s="235">
        <f>'RECAPTACIÓ HABITATGES'!C59</f>
        <v>0</v>
      </c>
      <c r="D12" s="234">
        <f>'RECAPTACIÓ HABITATGES'!D59</f>
        <v>5</v>
      </c>
      <c r="E12" s="234">
        <f>'RECAPTACIÓ HABITATGES'!E59</f>
        <v>0</v>
      </c>
      <c r="G12" s="659" t="s">
        <v>267</v>
      </c>
      <c r="H12" s="660"/>
      <c r="I12" s="671">
        <v>0</v>
      </c>
      <c r="J12" s="675"/>
      <c r="K12" s="672"/>
      <c r="L12" s="245" t="s">
        <v>268</v>
      </c>
    </row>
    <row r="13" spans="1:12" ht="14.5" thickBot="1">
      <c r="A13" s="232" t="s">
        <v>241</v>
      </c>
      <c r="B13" s="233">
        <f>'RECAPTACIÓ HABITATGES'!B60</f>
        <v>0.93500000000000005</v>
      </c>
      <c r="C13" s="235">
        <f>'RECAPTACIÓ HABITATGES'!C60</f>
        <v>10940.435000000001</v>
      </c>
      <c r="D13" s="234">
        <f>'RECAPTACIÓ HABITATGES'!D60</f>
        <v>0</v>
      </c>
      <c r="E13" s="234">
        <f>'RECAPTACIÓ HABITATGES'!E60</f>
        <v>0</v>
      </c>
      <c r="G13" s="661"/>
      <c r="H13" s="662"/>
      <c r="I13" s="673">
        <v>10</v>
      </c>
      <c r="J13" s="676"/>
      <c r="K13" s="674"/>
      <c r="L13" s="246">
        <v>0</v>
      </c>
    </row>
    <row r="14" spans="1:12" ht="14.5" thickBot="1">
      <c r="A14" s="677" t="s">
        <v>244</v>
      </c>
      <c r="B14" s="678"/>
      <c r="C14" s="678"/>
      <c r="D14" s="679"/>
      <c r="E14" s="236">
        <f>SUM(E10:E13)</f>
        <v>15211.300000000001</v>
      </c>
      <c r="G14" s="663" t="s">
        <v>28</v>
      </c>
      <c r="H14" s="664"/>
      <c r="I14" s="243">
        <v>115</v>
      </c>
      <c r="J14" s="243">
        <v>70</v>
      </c>
      <c r="K14" s="243">
        <v>45</v>
      </c>
      <c r="L14" s="243">
        <v>0</v>
      </c>
    </row>
    <row r="15" spans="1:12" ht="28.5" thickBot="1">
      <c r="A15" s="247" t="s">
        <v>245</v>
      </c>
      <c r="B15" s="248" t="s">
        <v>235</v>
      </c>
      <c r="C15" s="249" t="s">
        <v>147</v>
      </c>
      <c r="D15" s="249" t="s">
        <v>236</v>
      </c>
      <c r="E15" s="249" t="s">
        <v>237</v>
      </c>
    </row>
    <row r="16" spans="1:12" ht="14.5" thickBot="1">
      <c r="A16" s="232" t="s">
        <v>239</v>
      </c>
      <c r="B16" s="233">
        <f>'RECAPTACIÓ HABITATGES'!B62</f>
        <v>6.5000000000000002E-2</v>
      </c>
      <c r="C16" s="235">
        <f>'RECAPTACIÓ HABITATGES'!C62</f>
        <v>760.56500000000005</v>
      </c>
      <c r="D16" s="234">
        <f>'RECAPTACIÓ HABITATGES'!D62</f>
        <v>50</v>
      </c>
      <c r="E16" s="234">
        <f>'RECAPTACIÓ HABITATGES'!E62</f>
        <v>38028.25</v>
      </c>
    </row>
    <row r="17" spans="1:12" ht="28.5" thickBot="1">
      <c r="A17" s="232" t="s">
        <v>240</v>
      </c>
      <c r="B17" s="233">
        <f>'RECAPTACIÓ HABITATGES'!B63</f>
        <v>0</v>
      </c>
      <c r="C17" s="235">
        <f>'RECAPTACIÓ HABITATGES'!C63</f>
        <v>0</v>
      </c>
      <c r="D17" s="234">
        <f>'RECAPTACIÓ HABITATGES'!D63</f>
        <v>20</v>
      </c>
      <c r="E17" s="234">
        <f>'RECAPTACIÓ HABITATGES'!E63</f>
        <v>0</v>
      </c>
      <c r="G17" s="241"/>
      <c r="H17" s="242" t="s">
        <v>374</v>
      </c>
      <c r="I17" s="242" t="s">
        <v>260</v>
      </c>
      <c r="J17" s="242" t="s">
        <v>261</v>
      </c>
      <c r="K17" s="242" t="s">
        <v>262</v>
      </c>
      <c r="L17" s="242" t="s">
        <v>263</v>
      </c>
    </row>
    <row r="18" spans="1:12" ht="14.5" thickBot="1">
      <c r="A18" s="232" t="s">
        <v>241</v>
      </c>
      <c r="B18" s="233">
        <f>'RECAPTACIÓ HABITATGES'!B64</f>
        <v>0.93500000000000005</v>
      </c>
      <c r="C18" s="235">
        <f>'RECAPTACIÓ HABITATGES'!C64</f>
        <v>10940.435000000001</v>
      </c>
      <c r="D18" s="234">
        <f>'RECAPTACIÓ HABITATGES'!D64</f>
        <v>0</v>
      </c>
      <c r="E18" s="234">
        <f>'RECAPTACIÓ HABITATGES'!E64</f>
        <v>0</v>
      </c>
      <c r="G18" s="653" t="s">
        <v>264</v>
      </c>
      <c r="H18" s="655">
        <v>104</v>
      </c>
      <c r="I18" s="245" t="s">
        <v>265</v>
      </c>
      <c r="J18" s="245" t="s">
        <v>98</v>
      </c>
      <c r="K18" s="245" t="s">
        <v>99</v>
      </c>
      <c r="L18" s="245" t="s">
        <v>212</v>
      </c>
    </row>
    <row r="19" spans="1:12" ht="14.5" thickBot="1">
      <c r="A19" s="677" t="s">
        <v>246</v>
      </c>
      <c r="B19" s="678"/>
      <c r="C19" s="678"/>
      <c r="D19" s="679"/>
      <c r="E19" s="236">
        <f>SUM(E16:E18)</f>
        <v>38028.25</v>
      </c>
      <c r="G19" s="654"/>
      <c r="H19" s="656"/>
      <c r="I19" s="246">
        <v>35</v>
      </c>
      <c r="J19" s="246">
        <v>25</v>
      </c>
      <c r="K19" s="246">
        <v>10</v>
      </c>
      <c r="L19" s="246">
        <v>0</v>
      </c>
    </row>
    <row r="20" spans="1:12" ht="28.5" thickBot="1">
      <c r="A20" s="247" t="s">
        <v>247</v>
      </c>
      <c r="B20" s="248" t="s">
        <v>235</v>
      </c>
      <c r="C20" s="249" t="s">
        <v>147</v>
      </c>
      <c r="D20" s="249" t="s">
        <v>236</v>
      </c>
      <c r="E20" s="249" t="s">
        <v>237</v>
      </c>
      <c r="G20" s="653" t="s">
        <v>220</v>
      </c>
      <c r="H20" s="655">
        <v>52</v>
      </c>
      <c r="I20" s="245" t="s">
        <v>90</v>
      </c>
      <c r="J20" s="245" t="s">
        <v>100</v>
      </c>
      <c r="K20" s="245" t="s">
        <v>87</v>
      </c>
      <c r="L20" s="245" t="s">
        <v>404</v>
      </c>
    </row>
    <row r="21" spans="1:12" ht="14.5" thickBot="1">
      <c r="A21" s="232" t="s">
        <v>239</v>
      </c>
      <c r="B21" s="233">
        <f>'RECAPTACIÓ HABITATGES'!B66</f>
        <v>0.25</v>
      </c>
      <c r="C21" s="235">
        <f>'RECAPTACIÓ HABITATGES'!C66</f>
        <v>3162.5</v>
      </c>
      <c r="D21" s="234">
        <f>'RECAPTACIÓ HABITATGES'!D66</f>
        <v>10</v>
      </c>
      <c r="E21" s="234">
        <f>'RECAPTACIÓ HABITATGES'!E66</f>
        <v>31625</v>
      </c>
      <c r="G21" s="654"/>
      <c r="H21" s="656"/>
      <c r="I21" s="246">
        <v>20</v>
      </c>
      <c r="J21" s="246">
        <v>15</v>
      </c>
      <c r="K21" s="246">
        <v>5</v>
      </c>
      <c r="L21" s="246">
        <v>0</v>
      </c>
    </row>
    <row r="22" spans="1:12" ht="14.5" thickBot="1">
      <c r="A22" s="232" t="s">
        <v>241</v>
      </c>
      <c r="B22" s="233">
        <f>'RECAPTACIÓ HABITATGES'!B67</f>
        <v>0.75</v>
      </c>
      <c r="C22" s="235">
        <f>'RECAPTACIÓ HABITATGES'!C67</f>
        <v>9487.5</v>
      </c>
      <c r="D22" s="234">
        <f>'RECAPTACIÓ HABITATGES'!D67</f>
        <v>0</v>
      </c>
      <c r="E22" s="234">
        <f>'RECAPTACIÓ HABITATGES'!E67</f>
        <v>0</v>
      </c>
      <c r="G22" s="653" t="s">
        <v>222</v>
      </c>
      <c r="H22" s="655">
        <v>12</v>
      </c>
      <c r="I22" s="245" t="s">
        <v>90</v>
      </c>
      <c r="J22" s="671" t="s">
        <v>274</v>
      </c>
      <c r="K22" s="672"/>
      <c r="L22" s="245" t="s">
        <v>273</v>
      </c>
    </row>
    <row r="23" spans="1:12" ht="14.5" thickBot="1">
      <c r="A23" s="677" t="s">
        <v>248</v>
      </c>
      <c r="B23" s="678"/>
      <c r="C23" s="678"/>
      <c r="D23" s="679"/>
      <c r="E23" s="236">
        <f>SUM(E21:E22)</f>
        <v>31625</v>
      </c>
      <c r="G23" s="654"/>
      <c r="H23" s="656"/>
      <c r="I23" s="246">
        <v>50</v>
      </c>
      <c r="J23" s="673">
        <v>20</v>
      </c>
      <c r="K23" s="674"/>
      <c r="L23" s="246">
        <v>0</v>
      </c>
    </row>
    <row r="24" spans="1:12" ht="14.5" thickBot="1">
      <c r="A24" s="677" t="s">
        <v>249</v>
      </c>
      <c r="B24" s="678"/>
      <c r="C24" s="678"/>
      <c r="D24" s="679"/>
      <c r="E24" s="236">
        <f>SUM(E8,E14,E19,E23)</f>
        <v>111484.32500000001</v>
      </c>
      <c r="G24" s="659" t="s">
        <v>267</v>
      </c>
      <c r="H24" s="660"/>
      <c r="I24" s="671">
        <v>0</v>
      </c>
      <c r="J24" s="675"/>
      <c r="K24" s="672"/>
      <c r="L24" s="245" t="s">
        <v>103</v>
      </c>
    </row>
    <row r="25" spans="1:12" ht="14.5" thickBot="1">
      <c r="G25" s="661"/>
      <c r="H25" s="662"/>
      <c r="I25" s="673">
        <v>10</v>
      </c>
      <c r="J25" s="676"/>
      <c r="K25" s="674"/>
      <c r="L25" s="246">
        <v>0</v>
      </c>
    </row>
    <row r="26" spans="1:12" ht="14.5" thickBot="1">
      <c r="G26" s="657" t="s">
        <v>269</v>
      </c>
      <c r="H26" s="658"/>
      <c r="I26" s="244">
        <v>115</v>
      </c>
      <c r="J26" s="244">
        <v>70</v>
      </c>
      <c r="K26" s="244">
        <v>45</v>
      </c>
      <c r="L26" s="244">
        <v>0</v>
      </c>
    </row>
    <row r="27" spans="1:12" ht="13" thickBot="1"/>
    <row r="28" spans="1:12" ht="14.5" thickBot="1">
      <c r="A28" s="237" t="s">
        <v>250</v>
      </c>
      <c r="B28" s="238">
        <f>'PART FIXA DOM.'!H43</f>
        <v>2462586.3000323027</v>
      </c>
    </row>
    <row r="29" spans="1:12" ht="14.5" thickBot="1">
      <c r="A29" s="226" t="s">
        <v>249</v>
      </c>
      <c r="B29" s="225">
        <f>E24</f>
        <v>111484.32500000001</v>
      </c>
    </row>
    <row r="30" spans="1:12" ht="14.5" thickBot="1">
      <c r="A30" s="239" t="s">
        <v>95</v>
      </c>
      <c r="B30" s="240">
        <f>B28+B29</f>
        <v>2574070.6250323029</v>
      </c>
    </row>
  </sheetData>
  <mergeCells count="31">
    <mergeCell ref="A24:D24"/>
    <mergeCell ref="A2:E2"/>
    <mergeCell ref="A8:D8"/>
    <mergeCell ref="A14:D14"/>
    <mergeCell ref="A19:D19"/>
    <mergeCell ref="A23:D23"/>
    <mergeCell ref="J22:K22"/>
    <mergeCell ref="I24:K24"/>
    <mergeCell ref="J23:K23"/>
    <mergeCell ref="I25:K25"/>
    <mergeCell ref="G20:G21"/>
    <mergeCell ref="H20:H21"/>
    <mergeCell ref="G1:I2"/>
    <mergeCell ref="J10:K10"/>
    <mergeCell ref="J11:K11"/>
    <mergeCell ref="I12:K12"/>
    <mergeCell ref="I13:K13"/>
    <mergeCell ref="G8:G9"/>
    <mergeCell ref="H8:H9"/>
    <mergeCell ref="G10:G11"/>
    <mergeCell ref="H10:H11"/>
    <mergeCell ref="G18:G19"/>
    <mergeCell ref="H18:H19"/>
    <mergeCell ref="G26:H26"/>
    <mergeCell ref="G6:G7"/>
    <mergeCell ref="H6:H7"/>
    <mergeCell ref="G12:H13"/>
    <mergeCell ref="G14:H14"/>
    <mergeCell ref="G24:H25"/>
    <mergeCell ref="G22:G23"/>
    <mergeCell ref="H22:H2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42"/>
  <sheetViews>
    <sheetView topLeftCell="B7" workbookViewId="0">
      <selection activeCell="C78" sqref="C78"/>
    </sheetView>
  </sheetViews>
  <sheetFormatPr baseColWidth="10" defaultColWidth="11.453125" defaultRowHeight="12.5"/>
  <cols>
    <col min="1" max="2" width="11.453125" style="134"/>
    <col min="3" max="3" width="27.453125" style="134" bestFit="1" customWidth="1"/>
    <col min="4" max="4" width="16.453125" style="134" bestFit="1" customWidth="1"/>
    <col min="5" max="5" width="20" style="134" bestFit="1" customWidth="1"/>
    <col min="6" max="6" width="14.54296875" style="134" customWidth="1"/>
    <col min="7" max="16384" width="11.453125" style="134"/>
  </cols>
  <sheetData>
    <row r="2" spans="3:6" ht="14">
      <c r="C2" s="316" t="s">
        <v>365</v>
      </c>
    </row>
    <row r="3" spans="3:6" ht="13" thickBot="1"/>
    <row r="4" spans="3:6" ht="14.5" thickBot="1">
      <c r="C4" s="290"/>
      <c r="D4" s="683" t="s">
        <v>82</v>
      </c>
      <c r="E4" s="683"/>
      <c r="F4" s="683"/>
    </row>
    <row r="5" spans="3:6" ht="14.15" customHeight="1" thickBot="1">
      <c r="D5" s="299" t="s">
        <v>207</v>
      </c>
      <c r="E5" s="299" t="s">
        <v>203</v>
      </c>
      <c r="F5" s="299" t="s">
        <v>14</v>
      </c>
    </row>
    <row r="6" spans="3:6" ht="14.15" customHeight="1" thickBot="1">
      <c r="C6" s="300" t="s">
        <v>204</v>
      </c>
      <c r="D6" s="301" t="s">
        <v>205</v>
      </c>
      <c r="E6" s="301" t="s">
        <v>205</v>
      </c>
      <c r="F6" s="302" t="s">
        <v>205</v>
      </c>
    </row>
    <row r="7" spans="3:6" ht="14.15" customHeight="1" thickBot="1">
      <c r="C7" s="303" t="s">
        <v>0</v>
      </c>
      <c r="D7" s="304" t="e">
        <f>-#REF!</f>
        <v>#REF!</v>
      </c>
      <c r="E7" s="305" t="e">
        <f>-#REF!</f>
        <v>#REF!</v>
      </c>
      <c r="F7" s="306" t="e">
        <f>D7+E7</f>
        <v>#REF!</v>
      </c>
    </row>
    <row r="8" spans="3:6" ht="14.15" customHeight="1" thickBot="1">
      <c r="C8" s="303" t="s">
        <v>1</v>
      </c>
      <c r="D8" s="304" t="e">
        <f>-#REF!</f>
        <v>#REF!</v>
      </c>
      <c r="E8" s="305" t="e">
        <f>-#REF!</f>
        <v>#REF!</v>
      </c>
      <c r="F8" s="306" t="e">
        <f t="shared" ref="F8:F19" si="0">D8+E8</f>
        <v>#REF!</v>
      </c>
    </row>
    <row r="9" spans="3:6" ht="14.15" customHeight="1" thickBot="1">
      <c r="C9" s="303" t="s">
        <v>2</v>
      </c>
      <c r="D9" s="304" t="e">
        <f>-#REF!</f>
        <v>#REF!</v>
      </c>
      <c r="E9" s="305" t="e">
        <f>-#REF!</f>
        <v>#REF!</v>
      </c>
      <c r="F9" s="306" t="e">
        <f t="shared" si="0"/>
        <v>#REF!</v>
      </c>
    </row>
    <row r="10" spans="3:6" ht="14.15" customHeight="1" thickBot="1">
      <c r="C10" s="303" t="s">
        <v>12</v>
      </c>
      <c r="D10" s="304" t="e">
        <f>-#REF!</f>
        <v>#REF!</v>
      </c>
      <c r="E10" s="305" t="e">
        <f>-#REF!</f>
        <v>#REF!</v>
      </c>
      <c r="F10" s="306" t="e">
        <f t="shared" si="0"/>
        <v>#REF!</v>
      </c>
    </row>
    <row r="11" spans="3:6" ht="14.15" customHeight="1" thickBot="1">
      <c r="C11" s="303" t="s">
        <v>109</v>
      </c>
      <c r="D11" s="304" t="e">
        <f>-#REF!</f>
        <v>#REF!</v>
      </c>
      <c r="E11" s="305" t="e">
        <f>-#REF!</f>
        <v>#REF!</v>
      </c>
      <c r="F11" s="306" t="e">
        <f t="shared" si="0"/>
        <v>#REF!</v>
      </c>
    </row>
    <row r="12" spans="3:6" ht="14.15" customHeight="1" thickBot="1">
      <c r="C12" s="303" t="s">
        <v>4</v>
      </c>
      <c r="D12" s="304" t="e">
        <f>-#REF!</f>
        <v>#REF!</v>
      </c>
      <c r="E12" s="305" t="e">
        <f>-#REF!</f>
        <v>#REF!</v>
      </c>
      <c r="F12" s="306" t="e">
        <f t="shared" si="0"/>
        <v>#REF!</v>
      </c>
    </row>
    <row r="13" spans="3:6" ht="14.15" customHeight="1" thickBot="1">
      <c r="C13" s="303" t="s">
        <v>5</v>
      </c>
      <c r="D13" s="304" t="e">
        <f>-#REF!</f>
        <v>#REF!</v>
      </c>
      <c r="E13" s="305" t="e">
        <f>-#REF!</f>
        <v>#REF!</v>
      </c>
      <c r="F13" s="306" t="e">
        <f t="shared" si="0"/>
        <v>#REF!</v>
      </c>
    </row>
    <row r="14" spans="3:6" ht="14.15" customHeight="1" thickBot="1">
      <c r="C14" s="303" t="s">
        <v>6</v>
      </c>
      <c r="D14" s="304" t="e">
        <f>-#REF!</f>
        <v>#REF!</v>
      </c>
      <c r="E14" s="305" t="e">
        <f>-#REF!</f>
        <v>#REF!</v>
      </c>
      <c r="F14" s="306" t="e">
        <f t="shared" si="0"/>
        <v>#REF!</v>
      </c>
    </row>
    <row r="15" spans="3:6" ht="14.15" customHeight="1" thickBot="1">
      <c r="C15" s="303" t="s">
        <v>8</v>
      </c>
      <c r="D15" s="304" t="e">
        <f>-#REF!</f>
        <v>#REF!</v>
      </c>
      <c r="E15" s="305" t="e">
        <f>-#REF!</f>
        <v>#REF!</v>
      </c>
      <c r="F15" s="306" t="e">
        <f t="shared" si="0"/>
        <v>#REF!</v>
      </c>
    </row>
    <row r="16" spans="3:6" ht="14.15" customHeight="1" thickBot="1">
      <c r="C16" s="303" t="s">
        <v>9</v>
      </c>
      <c r="D16" s="304" t="e">
        <f>-#REF!</f>
        <v>#REF!</v>
      </c>
      <c r="E16" s="305" t="e">
        <f>-#REF!</f>
        <v>#REF!</v>
      </c>
      <c r="F16" s="306" t="e">
        <f t="shared" si="0"/>
        <v>#REF!</v>
      </c>
    </row>
    <row r="17" spans="3:6" ht="14.15" customHeight="1" thickBot="1">
      <c r="C17" s="303" t="s">
        <v>10</v>
      </c>
      <c r="D17" s="304" t="e">
        <f>-#REF!</f>
        <v>#REF!</v>
      </c>
      <c r="E17" s="305" t="e">
        <f>-#REF!</f>
        <v>#REF!</v>
      </c>
      <c r="F17" s="306" t="e">
        <f t="shared" si="0"/>
        <v>#REF!</v>
      </c>
    </row>
    <row r="18" spans="3:6" ht="14.15" customHeight="1" thickBot="1">
      <c r="C18" s="303" t="s">
        <v>206</v>
      </c>
      <c r="D18" s="304" t="e">
        <f>-#REF!</f>
        <v>#REF!</v>
      </c>
      <c r="E18" s="305" t="e">
        <f>-#REF!</f>
        <v>#REF!</v>
      </c>
      <c r="F18" s="306" t="e">
        <f t="shared" si="0"/>
        <v>#REF!</v>
      </c>
    </row>
    <row r="19" spans="3:6" ht="14.15" customHeight="1" thickBot="1">
      <c r="C19" s="307" t="s">
        <v>110</v>
      </c>
      <c r="D19" s="304" t="e">
        <f>-#REF!</f>
        <v>#REF!</v>
      </c>
      <c r="E19" s="308" t="e">
        <f>-#REF!</f>
        <v>#REF!</v>
      </c>
      <c r="F19" s="309" t="e">
        <f t="shared" si="0"/>
        <v>#REF!</v>
      </c>
    </row>
    <row r="25" spans="3:6" ht="14">
      <c r="C25" s="316" t="s">
        <v>366</v>
      </c>
    </row>
    <row r="26" spans="3:6" ht="13" thickBot="1"/>
    <row r="27" spans="3:6" ht="14.5" thickBot="1">
      <c r="C27" s="290"/>
      <c r="D27" s="683" t="s">
        <v>82</v>
      </c>
      <c r="E27" s="683"/>
      <c r="F27" s="683"/>
    </row>
    <row r="28" spans="3:6" ht="14.5" thickBot="1">
      <c r="D28" s="299" t="s">
        <v>207</v>
      </c>
      <c r="E28" s="299" t="s">
        <v>203</v>
      </c>
      <c r="F28" s="299" t="s">
        <v>14</v>
      </c>
    </row>
    <row r="29" spans="3:6" ht="14.5" thickBot="1">
      <c r="C29" s="300" t="s">
        <v>204</v>
      </c>
      <c r="D29" s="301" t="s">
        <v>205</v>
      </c>
      <c r="E29" s="301" t="s">
        <v>205</v>
      </c>
      <c r="F29" s="302" t="s">
        <v>205</v>
      </c>
    </row>
    <row r="30" spans="3:6" ht="14.5" thickBot="1">
      <c r="C30" s="303" t="s">
        <v>0</v>
      </c>
      <c r="D30" s="304">
        <v>120</v>
      </c>
      <c r="E30" s="305" t="e">
        <f>-#REF!</f>
        <v>#REF!</v>
      </c>
      <c r="F30" s="306" t="e">
        <f>D30+E30</f>
        <v>#REF!</v>
      </c>
    </row>
    <row r="31" spans="3:6" ht="14.5" thickBot="1">
      <c r="C31" s="303" t="s">
        <v>1</v>
      </c>
      <c r="D31" s="304">
        <v>120</v>
      </c>
      <c r="E31" s="305" t="e">
        <f>-#REF!</f>
        <v>#REF!</v>
      </c>
      <c r="F31" s="306" t="e">
        <f t="shared" ref="F31:F42" si="1">D31+E31</f>
        <v>#REF!</v>
      </c>
    </row>
    <row r="32" spans="3:6" ht="14.5" thickBot="1">
      <c r="C32" s="303" t="s">
        <v>2</v>
      </c>
      <c r="D32" s="304">
        <v>120</v>
      </c>
      <c r="E32" s="305" t="e">
        <f>-#REF!</f>
        <v>#REF!</v>
      </c>
      <c r="F32" s="306" t="e">
        <f t="shared" si="1"/>
        <v>#REF!</v>
      </c>
    </row>
    <row r="33" spans="3:6" ht="14.5" thickBot="1">
      <c r="C33" s="303" t="s">
        <v>12</v>
      </c>
      <c r="D33" s="304">
        <v>120</v>
      </c>
      <c r="E33" s="305" t="e">
        <f>-#REF!</f>
        <v>#REF!</v>
      </c>
      <c r="F33" s="306" t="e">
        <f t="shared" si="1"/>
        <v>#REF!</v>
      </c>
    </row>
    <row r="34" spans="3:6" ht="14.5" thickBot="1">
      <c r="C34" s="303" t="s">
        <v>109</v>
      </c>
      <c r="D34" s="304">
        <v>120</v>
      </c>
      <c r="E34" s="305" t="e">
        <f>-#REF!</f>
        <v>#REF!</v>
      </c>
      <c r="F34" s="306" t="e">
        <f t="shared" si="1"/>
        <v>#REF!</v>
      </c>
    </row>
    <row r="35" spans="3:6" ht="14.5" thickBot="1">
      <c r="C35" s="303" t="s">
        <v>4</v>
      </c>
      <c r="D35" s="304">
        <v>120</v>
      </c>
      <c r="E35" s="305" t="e">
        <f>-#REF!</f>
        <v>#REF!</v>
      </c>
      <c r="F35" s="306" t="e">
        <f t="shared" si="1"/>
        <v>#REF!</v>
      </c>
    </row>
    <row r="36" spans="3:6" ht="14.5" thickBot="1">
      <c r="C36" s="303" t="s">
        <v>5</v>
      </c>
      <c r="D36" s="304">
        <v>120</v>
      </c>
      <c r="E36" s="305" t="e">
        <f>-#REF!</f>
        <v>#REF!</v>
      </c>
      <c r="F36" s="306" t="e">
        <f t="shared" si="1"/>
        <v>#REF!</v>
      </c>
    </row>
    <row r="37" spans="3:6" ht="14.5" thickBot="1">
      <c r="C37" s="303" t="s">
        <v>6</v>
      </c>
      <c r="D37" s="304">
        <v>120</v>
      </c>
      <c r="E37" s="305" t="e">
        <f>-#REF!</f>
        <v>#REF!</v>
      </c>
      <c r="F37" s="306" t="e">
        <f t="shared" si="1"/>
        <v>#REF!</v>
      </c>
    </row>
    <row r="38" spans="3:6" ht="14.5" thickBot="1">
      <c r="C38" s="303" t="s">
        <v>8</v>
      </c>
      <c r="D38" s="304">
        <v>120</v>
      </c>
      <c r="E38" s="305" t="e">
        <f>-#REF!</f>
        <v>#REF!</v>
      </c>
      <c r="F38" s="306" t="e">
        <f t="shared" si="1"/>
        <v>#REF!</v>
      </c>
    </row>
    <row r="39" spans="3:6" ht="14.5" thickBot="1">
      <c r="C39" s="303" t="s">
        <v>9</v>
      </c>
      <c r="D39" s="304">
        <v>120</v>
      </c>
      <c r="E39" s="305" t="e">
        <f>-#REF!</f>
        <v>#REF!</v>
      </c>
      <c r="F39" s="306" t="e">
        <f t="shared" si="1"/>
        <v>#REF!</v>
      </c>
    </row>
    <row r="40" spans="3:6" ht="14.5" thickBot="1">
      <c r="C40" s="303" t="s">
        <v>10</v>
      </c>
      <c r="D40" s="304">
        <v>120</v>
      </c>
      <c r="E40" s="305" t="e">
        <f>-#REF!</f>
        <v>#REF!</v>
      </c>
      <c r="F40" s="306" t="e">
        <f t="shared" si="1"/>
        <v>#REF!</v>
      </c>
    </row>
    <row r="41" spans="3:6" ht="14.5" thickBot="1">
      <c r="C41" s="303" t="s">
        <v>206</v>
      </c>
      <c r="D41" s="304">
        <v>120</v>
      </c>
      <c r="E41" s="305" t="e">
        <f>-#REF!</f>
        <v>#REF!</v>
      </c>
      <c r="F41" s="306" t="e">
        <f t="shared" si="1"/>
        <v>#REF!</v>
      </c>
    </row>
    <row r="42" spans="3:6" ht="14.5" thickBot="1">
      <c r="C42" s="307" t="s">
        <v>110</v>
      </c>
      <c r="D42" s="304">
        <v>120</v>
      </c>
      <c r="E42" s="308" t="e">
        <f>-#REF!</f>
        <v>#REF!</v>
      </c>
      <c r="F42" s="306" t="e">
        <f t="shared" si="1"/>
        <v>#REF!</v>
      </c>
    </row>
  </sheetData>
  <mergeCells count="2">
    <mergeCell ref="D4:F4"/>
    <mergeCell ref="D27:F2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1"/>
  <sheetViews>
    <sheetView workbookViewId="0">
      <selection activeCell="C78" sqref="C78"/>
    </sheetView>
  </sheetViews>
  <sheetFormatPr baseColWidth="10" defaultColWidth="11.453125" defaultRowHeight="12.5"/>
  <cols>
    <col min="1" max="1" width="41.453125" style="1" customWidth="1"/>
    <col min="2" max="2" width="18.54296875" style="1" bestFit="1" customWidth="1"/>
    <col min="3" max="3" width="12.54296875" style="1" bestFit="1" customWidth="1"/>
    <col min="4" max="4" width="14" style="1" customWidth="1"/>
    <col min="5" max="5" width="13.54296875" style="1" customWidth="1"/>
    <col min="6" max="6" width="13.453125" style="1" customWidth="1"/>
    <col min="7" max="8" width="13" style="1" customWidth="1"/>
    <col min="9" max="9" width="13.453125" style="1" customWidth="1"/>
    <col min="10" max="10" width="13.81640625" style="1" customWidth="1"/>
    <col min="11" max="11" width="13.54296875" style="1" customWidth="1"/>
    <col min="12" max="12" width="12.453125" style="1" customWidth="1"/>
    <col min="13" max="13" width="11.453125" style="1" customWidth="1"/>
    <col min="14" max="15" width="13.453125" style="1" customWidth="1"/>
    <col min="16" max="16" width="22" style="1" bestFit="1" customWidth="1"/>
    <col min="17" max="17" width="13.453125" style="1" customWidth="1"/>
    <col min="18" max="18" width="18" style="1" bestFit="1" customWidth="1"/>
    <col min="19" max="21" width="13.453125" style="1" customWidth="1"/>
    <col min="22" max="22" width="29.54296875" style="1" customWidth="1"/>
    <col min="23" max="16384" width="11.453125" style="1"/>
  </cols>
  <sheetData>
    <row r="1" spans="1:10" s="5" customFormat="1">
      <c r="A1" s="8"/>
      <c r="B1" s="9" t="s">
        <v>18</v>
      </c>
      <c r="C1" s="10" t="s">
        <v>19</v>
      </c>
      <c r="D1" s="10" t="s">
        <v>20</v>
      </c>
      <c r="E1" s="10" t="s">
        <v>33</v>
      </c>
      <c r="F1" s="10" t="s">
        <v>31</v>
      </c>
      <c r="G1" s="10" t="s">
        <v>35</v>
      </c>
      <c r="H1" s="10" t="s">
        <v>21</v>
      </c>
      <c r="I1" s="10" t="s">
        <v>34</v>
      </c>
      <c r="J1" s="29" t="s">
        <v>51</v>
      </c>
    </row>
    <row r="2" spans="1:10" s="5" customFormat="1">
      <c r="A2" s="13" t="s">
        <v>0</v>
      </c>
      <c r="B2" s="2">
        <f>SUM(C2:E2)</f>
        <v>272</v>
      </c>
      <c r="C2" s="2"/>
      <c r="D2" s="2">
        <f>106+64</f>
        <v>170</v>
      </c>
      <c r="E2" s="2">
        <v>102</v>
      </c>
      <c r="F2" s="22">
        <v>2</v>
      </c>
      <c r="G2" s="11"/>
      <c r="H2" s="11">
        <v>20</v>
      </c>
      <c r="I2" s="11">
        <v>10</v>
      </c>
      <c r="J2" s="28">
        <v>56171.506232962165</v>
      </c>
    </row>
    <row r="3" spans="1:10" s="5" customFormat="1">
      <c r="A3" s="13" t="s">
        <v>1</v>
      </c>
      <c r="B3" s="2">
        <f t="shared" ref="B3:B15" si="0">SUM(C3:E3)</f>
        <v>2221</v>
      </c>
      <c r="C3" s="2">
        <v>1589</v>
      </c>
      <c r="D3" s="2">
        <v>337</v>
      </c>
      <c r="E3" s="2">
        <v>295</v>
      </c>
      <c r="F3" s="22">
        <v>5</v>
      </c>
      <c r="G3" s="11">
        <v>84</v>
      </c>
      <c r="H3" s="11">
        <v>2</v>
      </c>
      <c r="I3" s="11">
        <v>11</v>
      </c>
      <c r="J3" s="28">
        <v>398507.34748661553</v>
      </c>
    </row>
    <row r="4" spans="1:10" s="5" customFormat="1">
      <c r="A4" s="13" t="s">
        <v>2</v>
      </c>
      <c r="B4" s="2">
        <f t="shared" si="0"/>
        <v>745</v>
      </c>
      <c r="C4" s="2">
        <v>697</v>
      </c>
      <c r="D4" s="2"/>
      <c r="E4" s="2">
        <v>48</v>
      </c>
      <c r="F4" s="22">
        <v>1</v>
      </c>
      <c r="G4" s="11">
        <v>55</v>
      </c>
      <c r="H4" s="11"/>
      <c r="I4" s="11">
        <v>3</v>
      </c>
      <c r="J4" s="28">
        <v>148032.19578232316</v>
      </c>
    </row>
    <row r="5" spans="1:10" s="5" customFormat="1">
      <c r="A5" s="13" t="s">
        <v>12</v>
      </c>
      <c r="B5" s="2">
        <f t="shared" si="0"/>
        <v>112</v>
      </c>
      <c r="C5" s="2"/>
      <c r="D5" s="2">
        <v>100</v>
      </c>
      <c r="E5" s="2">
        <v>12</v>
      </c>
      <c r="F5" s="22">
        <v>2</v>
      </c>
      <c r="G5" s="11"/>
      <c r="H5" s="11">
        <v>37</v>
      </c>
      <c r="I5" s="11">
        <v>9</v>
      </c>
      <c r="J5" s="28">
        <v>38462.481470433224</v>
      </c>
    </row>
    <row r="6" spans="1:10" s="5" customFormat="1">
      <c r="A6" s="13" t="s">
        <v>3</v>
      </c>
      <c r="B6" s="2">
        <f t="shared" si="0"/>
        <v>425</v>
      </c>
      <c r="C6" s="2">
        <v>332</v>
      </c>
      <c r="D6" s="2"/>
      <c r="E6" s="2">
        <v>93</v>
      </c>
      <c r="F6" s="22">
        <v>1</v>
      </c>
      <c r="G6" s="11">
        <v>35</v>
      </c>
      <c r="H6" s="11"/>
      <c r="I6" s="11">
        <v>2</v>
      </c>
      <c r="J6" s="28">
        <v>84428.640462506766</v>
      </c>
    </row>
    <row r="7" spans="1:10" s="5" customFormat="1">
      <c r="A7" s="13" t="s">
        <v>4</v>
      </c>
      <c r="B7" s="2">
        <f t="shared" si="0"/>
        <v>492</v>
      </c>
      <c r="C7" s="2">
        <v>482</v>
      </c>
      <c r="D7" s="2"/>
      <c r="E7" s="2">
        <v>10</v>
      </c>
      <c r="F7" s="22">
        <v>0.5</v>
      </c>
      <c r="G7" s="11">
        <v>57</v>
      </c>
      <c r="H7" s="11"/>
      <c r="I7" s="11">
        <v>1</v>
      </c>
      <c r="J7" s="28">
        <v>110883.7191684944</v>
      </c>
    </row>
    <row r="8" spans="1:10" s="5" customFormat="1">
      <c r="A8" s="13" t="s">
        <v>5</v>
      </c>
      <c r="B8" s="2">
        <f t="shared" si="0"/>
        <v>947</v>
      </c>
      <c r="C8" s="2">
        <v>761</v>
      </c>
      <c r="D8" s="2">
        <v>113</v>
      </c>
      <c r="E8" s="2">
        <v>73</v>
      </c>
      <c r="F8" s="22">
        <v>2</v>
      </c>
      <c r="G8" s="11">
        <v>23</v>
      </c>
      <c r="H8" s="11">
        <v>5</v>
      </c>
      <c r="I8" s="11">
        <v>3</v>
      </c>
      <c r="J8" s="28">
        <v>169284.4612042213</v>
      </c>
    </row>
    <row r="9" spans="1:10" s="5" customFormat="1">
      <c r="A9" s="13" t="s">
        <v>6</v>
      </c>
      <c r="B9" s="2">
        <f t="shared" si="0"/>
        <v>142</v>
      </c>
      <c r="C9" s="2">
        <v>108</v>
      </c>
      <c r="D9" s="2"/>
      <c r="E9" s="2">
        <v>34</v>
      </c>
      <c r="F9" s="2">
        <v>0</v>
      </c>
      <c r="G9" s="11">
        <v>14</v>
      </c>
      <c r="H9" s="11"/>
      <c r="I9" s="11">
        <v>8</v>
      </c>
      <c r="J9" s="28">
        <v>29520.416824705862</v>
      </c>
    </row>
    <row r="10" spans="1:10" s="5" customFormat="1">
      <c r="A10" s="13" t="s">
        <v>36</v>
      </c>
      <c r="B10" s="2">
        <f t="shared" si="0"/>
        <v>263</v>
      </c>
      <c r="C10" s="2">
        <f>15+138</f>
        <v>153</v>
      </c>
      <c r="D10" s="2"/>
      <c r="E10" s="2">
        <v>110</v>
      </c>
      <c r="F10" s="22">
        <v>2</v>
      </c>
      <c r="G10" s="11">
        <v>30</v>
      </c>
      <c r="H10" s="11"/>
      <c r="I10" s="11">
        <v>24</v>
      </c>
      <c r="J10" s="28">
        <v>59518.250890392657</v>
      </c>
    </row>
    <row r="11" spans="1:10" s="5" customFormat="1">
      <c r="A11" s="13" t="s">
        <v>8</v>
      </c>
      <c r="B11" s="2">
        <f t="shared" si="0"/>
        <v>1431</v>
      </c>
      <c r="C11" s="2">
        <f>1246-15</f>
        <v>1231</v>
      </c>
      <c r="D11" s="2"/>
      <c r="E11" s="2">
        <f>170+30</f>
        <v>200</v>
      </c>
      <c r="F11" s="22">
        <v>4</v>
      </c>
      <c r="G11" s="11">
        <f>27+75-6</f>
        <v>96</v>
      </c>
      <c r="H11" s="11"/>
      <c r="I11" s="11">
        <v>14</v>
      </c>
      <c r="J11" s="28">
        <v>273783.9450520323</v>
      </c>
    </row>
    <row r="12" spans="1:10" s="5" customFormat="1">
      <c r="A12" s="13" t="s">
        <v>9</v>
      </c>
      <c r="B12" s="2">
        <f t="shared" si="0"/>
        <v>1394</v>
      </c>
      <c r="C12" s="2">
        <v>935</v>
      </c>
      <c r="D12" s="2">
        <v>207</v>
      </c>
      <c r="E12" s="2">
        <v>252</v>
      </c>
      <c r="F12" s="22">
        <v>4</v>
      </c>
      <c r="G12" s="11">
        <v>82</v>
      </c>
      <c r="H12" s="11">
        <v>10</v>
      </c>
      <c r="I12" s="11">
        <v>16</v>
      </c>
      <c r="J12" s="28">
        <v>300271.83449761028</v>
      </c>
    </row>
    <row r="13" spans="1:10" s="5" customFormat="1">
      <c r="A13" s="13" t="s">
        <v>10</v>
      </c>
      <c r="B13" s="2">
        <f t="shared" si="0"/>
        <v>213</v>
      </c>
      <c r="C13" s="2">
        <v>206</v>
      </c>
      <c r="D13" s="2"/>
      <c r="E13" s="2">
        <v>7</v>
      </c>
      <c r="F13" s="22">
        <v>0.5</v>
      </c>
      <c r="G13" s="11">
        <v>30</v>
      </c>
      <c r="H13" s="11">
        <v>6</v>
      </c>
      <c r="I13" s="11"/>
      <c r="J13" s="28">
        <v>54296.452878047443</v>
      </c>
    </row>
    <row r="14" spans="1:10" s="5" customFormat="1">
      <c r="A14" s="13" t="s">
        <v>11</v>
      </c>
      <c r="B14" s="2">
        <f t="shared" si="0"/>
        <v>1346</v>
      </c>
      <c r="C14" s="2">
        <v>760</v>
      </c>
      <c r="D14" s="2">
        <v>489</v>
      </c>
      <c r="E14" s="2">
        <v>97</v>
      </c>
      <c r="F14" s="22">
        <v>1</v>
      </c>
      <c r="G14" s="11">
        <f>235-90</f>
        <v>145</v>
      </c>
      <c r="H14" s="11">
        <v>77</v>
      </c>
      <c r="I14" s="11">
        <v>22</v>
      </c>
      <c r="J14" s="28">
        <v>372250.36332006345</v>
      </c>
    </row>
    <row r="15" spans="1:10" s="5" customFormat="1">
      <c r="A15" s="13" t="s">
        <v>13</v>
      </c>
      <c r="B15" s="2">
        <f t="shared" si="0"/>
        <v>2116</v>
      </c>
      <c r="C15" s="2">
        <v>2093</v>
      </c>
      <c r="D15" s="2"/>
      <c r="E15" s="2">
        <v>23</v>
      </c>
      <c r="F15" s="22">
        <v>1</v>
      </c>
      <c r="G15" s="11">
        <f>84+90</f>
        <v>174</v>
      </c>
      <c r="H15" s="11"/>
      <c r="I15" s="11">
        <v>2</v>
      </c>
      <c r="J15" s="28">
        <v>421765.64978484862</v>
      </c>
    </row>
    <row r="16" spans="1:10" s="5" customFormat="1">
      <c r="A16" s="3"/>
      <c r="B16" s="3">
        <v>12097</v>
      </c>
      <c r="C16" s="3">
        <f>SUM(C2:C15)</f>
        <v>9347</v>
      </c>
      <c r="D16" s="3">
        <f t="shared" ref="D16:I16" si="1">SUM(D2:D15)</f>
        <v>1416</v>
      </c>
      <c r="E16" s="23">
        <f>SUM(E2:E15)</f>
        <v>1356</v>
      </c>
      <c r="F16" s="3">
        <f t="shared" si="1"/>
        <v>26</v>
      </c>
      <c r="G16" s="3">
        <f t="shared" si="1"/>
        <v>825</v>
      </c>
      <c r="H16" s="3">
        <f t="shared" si="1"/>
        <v>157</v>
      </c>
      <c r="I16" s="3">
        <f t="shared" si="1"/>
        <v>125</v>
      </c>
      <c r="J16" s="12">
        <f>SUM(J2:J15)</f>
        <v>2517177.2650552574</v>
      </c>
    </row>
    <row r="17" s="5" customFormat="1"/>
    <row r="18" s="5" customFormat="1"/>
    <row r="19" s="5" customFormat="1"/>
    <row r="20" s="5" customFormat="1"/>
    <row r="21" s="5" customFormat="1"/>
    <row r="22" s="5" customFormat="1"/>
    <row r="23" s="5" customFormat="1"/>
    <row r="24" s="5" customFormat="1"/>
    <row r="25" s="5" customFormat="1"/>
    <row r="26" s="5" customFormat="1"/>
    <row r="27" s="5" customFormat="1"/>
    <row r="28" s="5" customFormat="1"/>
    <row r="29" s="5" customFormat="1"/>
    <row r="30" s="5" customFormat="1"/>
    <row r="31" s="5" customFormat="1"/>
    <row r="32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1" s="5" customFormat="1"/>
    <row r="112" s="5" customFormat="1"/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pans="1:4" s="5" customFormat="1"/>
    <row r="178" spans="1:4" s="5" customFormat="1"/>
    <row r="179" spans="1:4" s="5" customFormat="1"/>
    <row r="180" spans="1:4" s="5" customFormat="1">
      <c r="A180" s="1"/>
      <c r="B180" s="1"/>
      <c r="C180" s="1"/>
      <c r="D180" s="1"/>
    </row>
    <row r="181" spans="1:4" s="5" customFormat="1">
      <c r="A181" s="1"/>
      <c r="B181" s="1"/>
      <c r="C181" s="1"/>
      <c r="D181" s="1"/>
    </row>
  </sheetData>
  <phoneticPr fontId="25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0"/>
  <sheetViews>
    <sheetView workbookViewId="0">
      <selection activeCell="C78" sqref="C78"/>
    </sheetView>
  </sheetViews>
  <sheetFormatPr baseColWidth="10" defaultRowHeight="12.5"/>
  <cols>
    <col min="1" max="1" width="22.54296875" customWidth="1"/>
  </cols>
  <sheetData>
    <row r="4" spans="1:2">
      <c r="A4" t="s">
        <v>318</v>
      </c>
      <c r="B4" t="s">
        <v>398</v>
      </c>
    </row>
    <row r="5" spans="1:2">
      <c r="A5" t="s">
        <v>109</v>
      </c>
      <c r="B5">
        <v>1</v>
      </c>
    </row>
    <row r="6" spans="1:2">
      <c r="A6" t="s">
        <v>5</v>
      </c>
      <c r="B6">
        <v>2</v>
      </c>
    </row>
    <row r="7" spans="1:2">
      <c r="A7" t="s">
        <v>9</v>
      </c>
      <c r="B7">
        <v>4</v>
      </c>
    </row>
    <row r="8" spans="1:2">
      <c r="A8" t="s">
        <v>11</v>
      </c>
      <c r="B8">
        <v>4</v>
      </c>
    </row>
    <row r="9" spans="1:2">
      <c r="A9" t="s">
        <v>110</v>
      </c>
      <c r="B9">
        <v>4</v>
      </c>
    </row>
    <row r="10" spans="1:2">
      <c r="A10" t="s">
        <v>14</v>
      </c>
      <c r="B10">
        <f>SUM(B5:B9)</f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X93"/>
  <sheetViews>
    <sheetView topLeftCell="A46" zoomScale="90" zoomScaleNormal="90" workbookViewId="0">
      <selection activeCell="G90" sqref="G90"/>
    </sheetView>
  </sheetViews>
  <sheetFormatPr baseColWidth="10" defaultColWidth="11.54296875" defaultRowHeight="12.5"/>
  <cols>
    <col min="1" max="1" width="25.54296875" style="202" bestFit="1" customWidth="1"/>
    <col min="2" max="5" width="20.7265625" style="202" customWidth="1"/>
    <col min="6" max="6" width="15" style="202" customWidth="1"/>
    <col min="7" max="7" width="15.1796875" style="202" customWidth="1"/>
    <col min="8" max="8" width="14.81640625" style="202" customWidth="1"/>
    <col min="9" max="9" width="14.54296875" style="202" bestFit="1" customWidth="1"/>
    <col min="10" max="10" width="14.54296875" style="202" customWidth="1"/>
    <col min="11" max="11" width="13" style="202" customWidth="1"/>
    <col min="12" max="12" width="13.453125" style="202" customWidth="1"/>
    <col min="13" max="13" width="14.54296875" style="202" customWidth="1"/>
    <col min="14" max="14" width="13.54296875" style="202" customWidth="1"/>
    <col min="15" max="15" width="15.453125" style="202" customWidth="1"/>
    <col min="16" max="16" width="13.54296875" style="202" customWidth="1"/>
    <col min="17" max="17" width="15.1796875" style="202" customWidth="1"/>
    <col min="18" max="18" width="21.54296875" style="202" customWidth="1"/>
    <col min="19" max="19" width="14.54296875" style="202" customWidth="1"/>
    <col min="20" max="20" width="13.81640625" style="202" customWidth="1"/>
    <col min="21" max="21" width="13.1796875" style="202" customWidth="1"/>
    <col min="22" max="22" width="13.453125" style="202" customWidth="1"/>
    <col min="23" max="23" width="13" style="202" bestFit="1" customWidth="1"/>
    <col min="24" max="16384" width="11.54296875" style="202"/>
  </cols>
  <sheetData>
    <row r="1" spans="3:24" ht="15" hidden="1" customHeight="1">
      <c r="D1" s="591" t="s">
        <v>113</v>
      </c>
      <c r="E1" s="591"/>
      <c r="F1" s="591"/>
      <c r="G1" s="591"/>
      <c r="O1" s="202">
        <f>511/365</f>
        <v>1.4</v>
      </c>
    </row>
    <row r="2" spans="3:24" ht="15" hidden="1" customHeight="1">
      <c r="D2" s="335" t="s">
        <v>112</v>
      </c>
      <c r="E2" s="335" t="s">
        <v>112</v>
      </c>
      <c r="F2" s="335" t="s">
        <v>112</v>
      </c>
      <c r="G2" s="335" t="s">
        <v>112</v>
      </c>
      <c r="H2" s="336" t="s">
        <v>114</v>
      </c>
      <c r="I2" s="592" t="s">
        <v>60</v>
      </c>
      <c r="J2" s="593"/>
      <c r="K2" s="594"/>
      <c r="L2" s="335" t="s">
        <v>112</v>
      </c>
      <c r="M2" s="335"/>
      <c r="N2" s="335"/>
    </row>
    <row r="3" spans="3:24" ht="33.75" hidden="1" customHeight="1">
      <c r="C3" s="337" t="s">
        <v>59</v>
      </c>
      <c r="D3" s="338" t="s">
        <v>15</v>
      </c>
      <c r="E3" s="338" t="s">
        <v>16</v>
      </c>
      <c r="F3" s="338" t="s">
        <v>17</v>
      </c>
      <c r="G3" s="338" t="s">
        <v>22</v>
      </c>
      <c r="H3" s="338" t="s">
        <v>23</v>
      </c>
      <c r="I3" s="339" t="s">
        <v>56</v>
      </c>
      <c r="J3" s="339" t="s">
        <v>57</v>
      </c>
      <c r="K3" s="339" t="s">
        <v>50</v>
      </c>
      <c r="L3" s="338" t="s">
        <v>24</v>
      </c>
      <c r="M3" s="338" t="s">
        <v>14</v>
      </c>
      <c r="N3" s="340" t="s">
        <v>25</v>
      </c>
      <c r="O3" s="341" t="s">
        <v>67</v>
      </c>
      <c r="P3" s="341" t="s">
        <v>128</v>
      </c>
      <c r="U3" s="338" t="s">
        <v>65</v>
      </c>
    </row>
    <row r="4" spans="3:24" ht="12.75" hidden="1" customHeight="1">
      <c r="C4" s="342" t="s">
        <v>0</v>
      </c>
      <c r="D4" s="81">
        <v>108.57818181818183</v>
      </c>
      <c r="E4" s="81">
        <v>37.399636363636368</v>
      </c>
      <c r="F4" s="81">
        <v>27.587999999999997</v>
      </c>
      <c r="G4" s="81">
        <v>31.001708686755759</v>
      </c>
      <c r="H4" s="81">
        <v>175</v>
      </c>
      <c r="I4" s="81">
        <v>11.465</v>
      </c>
      <c r="J4" s="81">
        <v>4.056</v>
      </c>
      <c r="K4" s="30"/>
      <c r="L4" s="30">
        <v>52.210909090909091</v>
      </c>
      <c r="M4" s="30">
        <f>SUM(D4:L4)</f>
        <v>447.29943595948299</v>
      </c>
      <c r="N4" s="343">
        <f t="shared" ref="N4:N18" si="0">SUM(D4:K4)/M4</f>
        <v>0.88327526284732805</v>
      </c>
      <c r="O4" s="344" t="e">
        <f t="shared" ref="O4:O18" si="1">R4*1000/S4/365</f>
        <v>#DIV/0!</v>
      </c>
      <c r="P4" s="344">
        <f>M4*1000/U4/365</f>
        <v>1.5711255214593711</v>
      </c>
      <c r="U4" s="30">
        <v>780</v>
      </c>
    </row>
    <row r="5" spans="3:24" ht="15" hidden="1" customHeight="1">
      <c r="C5" s="342" t="s">
        <v>1</v>
      </c>
      <c r="D5" s="81">
        <v>512.34872727272727</v>
      </c>
      <c r="E5" s="81">
        <v>189.8607272727273</v>
      </c>
      <c r="F5" s="81">
        <v>138.2738181818182</v>
      </c>
      <c r="G5" s="81">
        <v>119.64643951291725</v>
      </c>
      <c r="H5" s="81">
        <v>56.948182266704194</v>
      </c>
      <c r="I5" s="81">
        <v>50.390999999999998</v>
      </c>
      <c r="J5" s="81">
        <v>17.555</v>
      </c>
      <c r="K5" s="30"/>
      <c r="L5" s="30">
        <v>303.25963636363645</v>
      </c>
      <c r="M5" s="30">
        <f t="shared" ref="M5:M16" si="2">SUM(D5:L5)</f>
        <v>1388.2835308705307</v>
      </c>
      <c r="N5" s="343">
        <f t="shared" si="0"/>
        <v>0.78155785211002549</v>
      </c>
      <c r="O5" s="344" t="e">
        <f t="shared" si="1"/>
        <v>#DIV/0!</v>
      </c>
      <c r="P5" s="344">
        <f t="shared" ref="P5:P18" si="3">M5*1000/U5/365</f>
        <v>0.7376874559606208</v>
      </c>
      <c r="U5" s="30">
        <v>5156</v>
      </c>
      <c r="X5" s="370" t="s">
        <v>61</v>
      </c>
    </row>
    <row r="6" spans="3:24" ht="12.75" hidden="1" customHeight="1">
      <c r="C6" s="342" t="s">
        <v>2</v>
      </c>
      <c r="D6" s="81">
        <v>194.64654545454547</v>
      </c>
      <c r="E6" s="81">
        <v>66.98181818181817</v>
      </c>
      <c r="F6" s="81">
        <v>40.470545454545444</v>
      </c>
      <c r="G6" s="81">
        <v>37.25642197918728</v>
      </c>
      <c r="H6" s="81">
        <v>32.79466500429313</v>
      </c>
      <c r="I6" s="81">
        <v>33.658999999999999</v>
      </c>
      <c r="J6" s="81">
        <v>5.1669999999999998</v>
      </c>
      <c r="K6" s="30">
        <v>164.62</v>
      </c>
      <c r="L6" s="30">
        <v>48.614181818181812</v>
      </c>
      <c r="M6" s="30">
        <f t="shared" si="2"/>
        <v>624.21017789257121</v>
      </c>
      <c r="N6" s="343">
        <f t="shared" si="0"/>
        <v>0.92211888953443422</v>
      </c>
      <c r="O6" s="344" t="e">
        <f t="shared" si="1"/>
        <v>#DIV/0!</v>
      </c>
      <c r="P6" s="344">
        <f t="shared" si="3"/>
        <v>0.94223959831325133</v>
      </c>
      <c r="U6" s="30">
        <v>1815</v>
      </c>
    </row>
    <row r="7" spans="3:24" ht="12.75" hidden="1" customHeight="1">
      <c r="C7" s="342" t="s">
        <v>12</v>
      </c>
      <c r="D7" s="81">
        <v>72.370909090909095</v>
      </c>
      <c r="E7" s="81">
        <v>24.488727272727274</v>
      </c>
      <c r="F7" s="81">
        <v>18.078545454545452</v>
      </c>
      <c r="G7" s="81">
        <v>19.44480808179118</v>
      </c>
      <c r="H7" s="81">
        <v>10.6</v>
      </c>
      <c r="I7" s="81">
        <v>6.6879999999999997</v>
      </c>
      <c r="J7" s="81">
        <v>3.2450000000000001</v>
      </c>
      <c r="K7" s="30">
        <v>37.43</v>
      </c>
      <c r="L7" s="30">
        <v>30.452727272727273</v>
      </c>
      <c r="M7" s="30">
        <f t="shared" si="2"/>
        <v>222.79871717270026</v>
      </c>
      <c r="N7" s="343">
        <f t="shared" si="0"/>
        <v>0.86331731322706784</v>
      </c>
      <c r="O7" s="344" t="e">
        <f t="shared" si="1"/>
        <v>#DIV/0!</v>
      </c>
      <c r="P7" s="344">
        <f t="shared" si="3"/>
        <v>1.1409484940350803</v>
      </c>
      <c r="U7" s="30">
        <v>535</v>
      </c>
    </row>
    <row r="8" spans="3:24" ht="12.75" hidden="1" customHeight="1">
      <c r="C8" s="342" t="s">
        <v>3</v>
      </c>
      <c r="D8" s="81">
        <v>98.091272727272724</v>
      </c>
      <c r="E8" s="81">
        <v>37.646181818181816</v>
      </c>
      <c r="F8" s="81">
        <v>24.679636363636362</v>
      </c>
      <c r="G8" s="81">
        <v>24.338251611077048</v>
      </c>
      <c r="H8" s="81">
        <v>83.153961063811607</v>
      </c>
      <c r="I8" s="81">
        <v>8.4809999999999999</v>
      </c>
      <c r="J8" s="81">
        <v>2.4123600000000001</v>
      </c>
      <c r="K8" s="30">
        <v>13.95</v>
      </c>
      <c r="L8" s="30">
        <v>37.18690909090909</v>
      </c>
      <c r="M8" s="30">
        <f t="shared" si="2"/>
        <v>329.93957267488861</v>
      </c>
      <c r="N8" s="343">
        <f t="shared" si="0"/>
        <v>0.88729175833796758</v>
      </c>
      <c r="O8" s="344" t="e">
        <f t="shared" si="1"/>
        <v>#DIV/0!</v>
      </c>
      <c r="P8" s="344">
        <f t="shared" si="3"/>
        <v>0.90484888360933147</v>
      </c>
      <c r="U8" s="30">
        <v>999</v>
      </c>
    </row>
    <row r="9" spans="3:24" ht="12.75" hidden="1" customHeight="1">
      <c r="C9" s="342" t="s">
        <v>4</v>
      </c>
      <c r="D9" s="81">
        <v>135.03381818181819</v>
      </c>
      <c r="E9" s="81">
        <v>46.80981818181818</v>
      </c>
      <c r="F9" s="81">
        <v>28.746545454545455</v>
      </c>
      <c r="G9" s="81">
        <v>26.277667502297692</v>
      </c>
      <c r="H9" s="81">
        <v>26.713434220761545</v>
      </c>
      <c r="I9" s="81">
        <v>9.7899999999999991</v>
      </c>
      <c r="J9" s="81">
        <v>3.2827699999999989</v>
      </c>
      <c r="K9" s="30">
        <v>40.450000000000003</v>
      </c>
      <c r="L9" s="30">
        <v>37.896000000000001</v>
      </c>
      <c r="M9" s="30">
        <f t="shared" si="2"/>
        <v>355.00005354124107</v>
      </c>
      <c r="N9" s="343">
        <f t="shared" si="0"/>
        <v>0.89325072032532082</v>
      </c>
      <c r="O9" s="344" t="e">
        <f t="shared" si="1"/>
        <v>#DIV/0!</v>
      </c>
      <c r="P9" s="344">
        <f t="shared" si="3"/>
        <v>0.86071051895076034</v>
      </c>
      <c r="U9" s="30">
        <v>1130</v>
      </c>
    </row>
    <row r="10" spans="3:24" ht="12.75" hidden="1" customHeight="1">
      <c r="C10" s="342" t="s">
        <v>5</v>
      </c>
      <c r="D10" s="81">
        <v>267.86290909090911</v>
      </c>
      <c r="E10" s="81">
        <v>82.666909090909087</v>
      </c>
      <c r="F10" s="81">
        <v>64.944000000000003</v>
      </c>
      <c r="G10" s="81">
        <v>59.907237032379506</v>
      </c>
      <c r="H10" s="81">
        <v>51.9103413966752</v>
      </c>
      <c r="I10" s="81">
        <v>37.427</v>
      </c>
      <c r="J10" s="81">
        <v>9.7721599999999977</v>
      </c>
      <c r="K10" s="30">
        <v>12.44</v>
      </c>
      <c r="L10" s="30">
        <v>105.34363636363636</v>
      </c>
      <c r="M10" s="30">
        <f t="shared" si="2"/>
        <v>692.27419297450933</v>
      </c>
      <c r="N10" s="343">
        <f t="shared" si="0"/>
        <v>0.84782960648727335</v>
      </c>
      <c r="O10" s="344" t="e">
        <f t="shared" si="1"/>
        <v>#DIV/0!</v>
      </c>
      <c r="P10" s="344">
        <f t="shared" si="3"/>
        <v>0.70428578707304001</v>
      </c>
      <c r="U10" s="30">
        <v>2693</v>
      </c>
    </row>
    <row r="11" spans="3:24" ht="12.75" hidden="1" customHeight="1">
      <c r="C11" s="342" t="s">
        <v>6</v>
      </c>
      <c r="D11" s="81">
        <v>41.303999999999995</v>
      </c>
      <c r="E11" s="81">
        <v>14.247272727272726</v>
      </c>
      <c r="F11" s="81">
        <v>8.2679999999999989</v>
      </c>
      <c r="G11" s="81">
        <v>7.0116493423360762</v>
      </c>
      <c r="H11" s="81"/>
      <c r="I11" s="81">
        <v>6.0739999999999998</v>
      </c>
      <c r="J11" s="81"/>
      <c r="K11" s="30">
        <v>15.03</v>
      </c>
      <c r="L11" s="30">
        <v>7.6363636363636385</v>
      </c>
      <c r="M11" s="30">
        <f t="shared" si="2"/>
        <v>99.571285705972429</v>
      </c>
      <c r="N11" s="343">
        <f t="shared" si="0"/>
        <v>0.92330757223610305</v>
      </c>
      <c r="O11" s="344" t="e">
        <f t="shared" si="1"/>
        <v>#DIV/0!</v>
      </c>
      <c r="P11" s="344">
        <f t="shared" si="3"/>
        <v>0.8167606078744355</v>
      </c>
      <c r="U11" s="30">
        <v>334</v>
      </c>
    </row>
    <row r="12" spans="3:24" ht="12.75" hidden="1" customHeight="1">
      <c r="C12" s="342" t="s">
        <v>7</v>
      </c>
      <c r="D12" s="81">
        <v>66.910909090909087</v>
      </c>
      <c r="E12" s="81">
        <v>24.190909090909091</v>
      </c>
      <c r="F12" s="81">
        <v>17.426181818181817</v>
      </c>
      <c r="G12" s="81">
        <v>13.193480988623591</v>
      </c>
      <c r="H12" s="81">
        <f>1.72*12</f>
        <v>20.64</v>
      </c>
      <c r="I12" s="81">
        <v>7.8479999999999999</v>
      </c>
      <c r="J12" s="81">
        <v>1.1200000000000001</v>
      </c>
      <c r="K12" s="30">
        <v>9.56</v>
      </c>
      <c r="L12" s="30">
        <v>14.527636363636365</v>
      </c>
      <c r="M12" s="30">
        <f t="shared" si="2"/>
        <v>175.41711735225996</v>
      </c>
      <c r="N12" s="343">
        <f t="shared" si="0"/>
        <v>0.91718233326988829</v>
      </c>
      <c r="O12" s="344" t="e">
        <f t="shared" si="1"/>
        <v>#DIV/0!</v>
      </c>
      <c r="P12" s="344">
        <f t="shared" si="3"/>
        <v>0.65744848435155434</v>
      </c>
      <c r="U12" s="30">
        <v>731</v>
      </c>
    </row>
    <row r="13" spans="3:24" ht="12.75" hidden="1" customHeight="1">
      <c r="C13" s="342" t="s">
        <v>8</v>
      </c>
      <c r="D13" s="81">
        <v>341.52000000000004</v>
      </c>
      <c r="E13" s="81">
        <v>128.23745454545454</v>
      </c>
      <c r="F13" s="81">
        <v>78.765818181818176</v>
      </c>
      <c r="G13" s="81">
        <v>66.518884435703967</v>
      </c>
      <c r="H13" s="81">
        <v>54.994590264260829</v>
      </c>
      <c r="I13" s="81">
        <v>50.320999999999998</v>
      </c>
      <c r="J13" s="81">
        <v>18.23695</v>
      </c>
      <c r="K13" s="30">
        <v>84.23</v>
      </c>
      <c r="L13" s="30">
        <v>111.65781818181819</v>
      </c>
      <c r="M13" s="30">
        <f t="shared" si="2"/>
        <v>934.48251560905578</v>
      </c>
      <c r="N13" s="343">
        <f t="shared" si="0"/>
        <v>0.88051374282905193</v>
      </c>
      <c r="O13" s="344" t="e">
        <f t="shared" si="1"/>
        <v>#DIV/0!</v>
      </c>
      <c r="P13" s="344">
        <f t="shared" si="3"/>
        <v>0.65545982339011688</v>
      </c>
      <c r="U13" s="30">
        <v>3906</v>
      </c>
    </row>
    <row r="14" spans="3:24" ht="12.75" hidden="1" customHeight="1">
      <c r="C14" s="342" t="s">
        <v>9</v>
      </c>
      <c r="D14" s="81">
        <v>380.49818181818176</v>
      </c>
      <c r="E14" s="81">
        <v>135.97854545454547</v>
      </c>
      <c r="F14" s="81">
        <v>102.70472727272725</v>
      </c>
      <c r="G14" s="81">
        <v>99.733299714928279</v>
      </c>
      <c r="H14" s="81">
        <v>29.37</v>
      </c>
      <c r="I14" s="81"/>
      <c r="J14" s="81">
        <v>1.3109999999999999</v>
      </c>
      <c r="K14" s="30">
        <v>323.94</v>
      </c>
      <c r="L14" s="30">
        <v>117.31963636363636</v>
      </c>
      <c r="M14" s="30">
        <f t="shared" si="2"/>
        <v>1190.8553906240193</v>
      </c>
      <c r="N14" s="343">
        <f t="shared" si="0"/>
        <v>0.9014828859260906</v>
      </c>
      <c r="O14" s="344" t="e">
        <f t="shared" si="1"/>
        <v>#DIV/0!</v>
      </c>
      <c r="P14" s="344">
        <f t="shared" si="3"/>
        <v>0.79868237663621966</v>
      </c>
      <c r="U14" s="30">
        <v>4085</v>
      </c>
    </row>
    <row r="15" spans="3:24" ht="12.75" hidden="1" customHeight="1">
      <c r="C15" s="342" t="s">
        <v>10</v>
      </c>
      <c r="D15" s="81">
        <v>59.131636363636375</v>
      </c>
      <c r="E15" s="81">
        <v>20.378181818181819</v>
      </c>
      <c r="F15" s="81">
        <v>11.827636363636362</v>
      </c>
      <c r="G15" s="81">
        <v>10.031346197027338</v>
      </c>
      <c r="H15" s="81"/>
      <c r="I15" s="81">
        <v>7.0179999999999998</v>
      </c>
      <c r="J15" s="81">
        <v>0.72175999999999985</v>
      </c>
      <c r="K15" s="30">
        <v>18.57</v>
      </c>
      <c r="L15" s="30">
        <v>11.098909090909093</v>
      </c>
      <c r="M15" s="30">
        <f t="shared" si="2"/>
        <v>138.777469833391</v>
      </c>
      <c r="N15" s="343">
        <f t="shared" si="0"/>
        <v>0.92002369617896995</v>
      </c>
      <c r="O15" s="344" t="e">
        <f t="shared" si="1"/>
        <v>#DIV/0!</v>
      </c>
      <c r="P15" s="344">
        <f t="shared" si="3"/>
        <v>0.73827620605607658</v>
      </c>
      <c r="U15" s="30">
        <v>515</v>
      </c>
    </row>
    <row r="16" spans="3:24" ht="12.75" hidden="1" customHeight="1">
      <c r="C16" s="342" t="s">
        <v>54</v>
      </c>
      <c r="D16" s="81">
        <v>309.93163636363636</v>
      </c>
      <c r="E16" s="81">
        <v>128.55818181818182</v>
      </c>
      <c r="F16" s="81">
        <v>86.070545454545439</v>
      </c>
      <c r="G16" s="81">
        <v>90.691398670532649</v>
      </c>
      <c r="H16" s="81">
        <f>93.2402896085801+30.3591861164088</f>
        <v>123.59947572498891</v>
      </c>
      <c r="I16" s="81">
        <f>24.8355+8.2785</f>
        <v>33.113999999999997</v>
      </c>
      <c r="J16" s="81"/>
      <c r="K16" s="30">
        <v>164.58</v>
      </c>
      <c r="L16" s="30">
        <v>106.38545454545454</v>
      </c>
      <c r="M16" s="30">
        <f t="shared" si="2"/>
        <v>1042.9306925773399</v>
      </c>
      <c r="N16" s="343">
        <f t="shared" si="0"/>
        <v>0.89799374464419124</v>
      </c>
      <c r="O16" s="344" t="e">
        <f t="shared" si="1"/>
        <v>#DIV/0!</v>
      </c>
      <c r="P16" s="344">
        <f t="shared" si="3"/>
        <v>0.78866805498912185</v>
      </c>
      <c r="U16" s="30">
        <v>3623</v>
      </c>
    </row>
    <row r="17" spans="3:24" ht="12.75" hidden="1" customHeight="1">
      <c r="C17" s="342" t="s">
        <v>13</v>
      </c>
      <c r="D17" s="81">
        <v>498.39490909090898</v>
      </c>
      <c r="E17" s="81">
        <v>192.99927272727274</v>
      </c>
      <c r="F17" s="81">
        <v>123.56836363636361</v>
      </c>
      <c r="G17" s="81">
        <v>106.46423145763629</v>
      </c>
      <c r="H17" s="81">
        <v>45.468660194653992</v>
      </c>
      <c r="I17" s="81"/>
      <c r="J17" s="81">
        <v>22.763999999999999</v>
      </c>
      <c r="K17" s="30">
        <v>328.02</v>
      </c>
      <c r="L17" s="30">
        <v>195.81381818181816</v>
      </c>
      <c r="M17" s="30">
        <f>SUM(D17:L17)</f>
        <v>1513.4932552886539</v>
      </c>
      <c r="N17" s="343">
        <f t="shared" si="0"/>
        <v>0.87062128126598592</v>
      </c>
      <c r="O17" s="344" t="e">
        <f t="shared" si="1"/>
        <v>#DIV/0!</v>
      </c>
      <c r="P17" s="344">
        <f>M17*1000/U17/365</f>
        <v>0.78325592440584269</v>
      </c>
      <c r="U17" s="30">
        <v>5294</v>
      </c>
    </row>
    <row r="18" spans="3:24" ht="12.75" hidden="1" customHeight="1">
      <c r="C18" s="345" t="s">
        <v>14</v>
      </c>
      <c r="D18" s="346">
        <f>SUM(D4:D17)</f>
        <v>3086.6236363636367</v>
      </c>
      <c r="E18" s="346">
        <f t="shared" ref="E18:M18" si="4">SUM(E4:E17)</f>
        <v>1130.4436363636364</v>
      </c>
      <c r="F18" s="347">
        <f t="shared" si="4"/>
        <v>771.41236363636358</v>
      </c>
      <c r="G18" s="347">
        <f t="shared" si="4"/>
        <v>711.5168252131939</v>
      </c>
      <c r="H18" s="347">
        <f t="shared" si="4"/>
        <v>711.19331013614942</v>
      </c>
      <c r="I18" s="347">
        <f t="shared" si="4"/>
        <v>262.27600000000001</v>
      </c>
      <c r="J18" s="347">
        <f t="shared" si="4"/>
        <v>89.644000000000005</v>
      </c>
      <c r="K18" s="346">
        <f t="shared" si="4"/>
        <v>1212.8200000000002</v>
      </c>
      <c r="L18" s="346">
        <f t="shared" si="4"/>
        <v>1179.4036363636365</v>
      </c>
      <c r="M18" s="346">
        <f t="shared" si="4"/>
        <v>9155.3334080766144</v>
      </c>
      <c r="N18" s="348">
        <f t="shared" si="0"/>
        <v>0.87117851597592377</v>
      </c>
      <c r="O18" s="349" t="e">
        <f t="shared" si="1"/>
        <v>#DIV/0!</v>
      </c>
      <c r="P18" s="349">
        <f t="shared" si="3"/>
        <v>0.79386964260055581</v>
      </c>
      <c r="U18" s="347">
        <f>SUM(U4:U17)</f>
        <v>31596</v>
      </c>
    </row>
    <row r="19" spans="3:24" ht="15" hidden="1" customHeight="1">
      <c r="C19" s="335"/>
      <c r="D19" s="350">
        <f t="shared" ref="D19:L19" si="5">D18/$M$18</f>
        <v>0.33713940266126102</v>
      </c>
      <c r="E19" s="350">
        <f t="shared" si="5"/>
        <v>0.12347378145359363</v>
      </c>
      <c r="F19" s="350">
        <f t="shared" si="5"/>
        <v>8.4258249181383416E-2</v>
      </c>
      <c r="G19" s="350">
        <f t="shared" si="5"/>
        <v>7.7716102024805667E-2</v>
      </c>
      <c r="H19" s="350">
        <f t="shared" si="5"/>
        <v>7.7680765782789721E-2</v>
      </c>
      <c r="I19" s="350">
        <f t="shared" si="5"/>
        <v>2.864734557549007E-2</v>
      </c>
      <c r="J19" s="350">
        <f t="shared" si="5"/>
        <v>9.7914511688802323E-3</v>
      </c>
      <c r="K19" s="350">
        <f t="shared" si="5"/>
        <v>0.13247141812771993</v>
      </c>
      <c r="L19" s="350">
        <f t="shared" si="5"/>
        <v>0.12882148402407662</v>
      </c>
      <c r="M19" s="350">
        <f>SUM(D19:L19)</f>
        <v>1.0000000000000002</v>
      </c>
      <c r="N19" s="335"/>
    </row>
    <row r="20" spans="3:24" ht="12.75" hidden="1" customHeight="1"/>
    <row r="21" spans="3:24" ht="12.75" hidden="1" customHeight="1">
      <c r="C21" s="342"/>
      <c r="D21" s="26"/>
    </row>
    <row r="22" spans="3:24" ht="12.75" hidden="1" customHeight="1">
      <c r="C22" s="342" t="s">
        <v>111</v>
      </c>
      <c r="D22" s="26">
        <v>92.29</v>
      </c>
    </row>
    <row r="23" spans="3:24" ht="12.75" hidden="1" customHeight="1">
      <c r="C23" s="342" t="s">
        <v>26</v>
      </c>
      <c r="D23" s="352" t="s">
        <v>122</v>
      </c>
    </row>
    <row r="24" spans="3:24" ht="12.75" hidden="1" customHeight="1">
      <c r="U24" s="41"/>
      <c r="V24" s="41"/>
      <c r="W24" s="41"/>
      <c r="X24" s="41"/>
    </row>
    <row r="25" spans="3:24" ht="12.75" hidden="1" customHeight="1">
      <c r="U25" s="41"/>
      <c r="V25" s="41"/>
      <c r="W25" s="41"/>
      <c r="X25" s="41"/>
    </row>
    <row r="26" spans="3:24" ht="12.75" hidden="1" customHeight="1">
      <c r="G26" s="595" t="s">
        <v>121</v>
      </c>
      <c r="H26" s="595"/>
      <c r="I26" s="595"/>
      <c r="J26" s="353"/>
      <c r="K26" s="353"/>
      <c r="L26" s="353"/>
      <c r="M26" s="354"/>
      <c r="N26" s="41"/>
      <c r="O26" s="41"/>
      <c r="P26" s="41"/>
      <c r="U26" s="41"/>
      <c r="V26" s="41"/>
      <c r="W26" s="41"/>
      <c r="X26" s="41"/>
    </row>
    <row r="27" spans="3:24" ht="12.75" hidden="1" customHeight="1">
      <c r="D27" s="338" t="s">
        <v>29</v>
      </c>
      <c r="E27" s="338" t="s">
        <v>30</v>
      </c>
      <c r="F27" s="355" t="s">
        <v>27</v>
      </c>
      <c r="G27" s="355" t="s">
        <v>116</v>
      </c>
      <c r="H27" s="355" t="s">
        <v>117</v>
      </c>
      <c r="I27" s="355" t="s">
        <v>118</v>
      </c>
      <c r="J27" s="356" t="s">
        <v>119</v>
      </c>
      <c r="K27" s="353"/>
      <c r="L27" s="356" t="s">
        <v>123</v>
      </c>
      <c r="M27" s="353"/>
      <c r="N27" s="353"/>
      <c r="O27" s="353"/>
      <c r="P27" s="353"/>
      <c r="U27" s="41"/>
      <c r="V27" s="41"/>
      <c r="W27" s="41"/>
      <c r="X27" s="41"/>
    </row>
    <row r="28" spans="3:24" ht="12.75" hidden="1" customHeight="1">
      <c r="C28" s="342" t="s">
        <v>0</v>
      </c>
      <c r="D28" s="357">
        <f>-'import de licitació'!J2-(-'import de licitació'!J2*0.1%)</f>
        <v>-56115.334726729205</v>
      </c>
      <c r="E28" s="357">
        <f>D28*0.0318</f>
        <v>-1784.4676443099888</v>
      </c>
      <c r="F28" s="357">
        <f t="shared" ref="F28:F41" si="6">-D4*$D$22</f>
        <v>-10020.680400000001</v>
      </c>
      <c r="G28" s="357">
        <v>2233.3921471768117</v>
      </c>
      <c r="H28" s="357">
        <v>1296.450008096067</v>
      </c>
      <c r="I28" s="357">
        <v>12765.434662706888</v>
      </c>
      <c r="J28" s="357">
        <v>6406.3936076339996</v>
      </c>
      <c r="K28" s="357" t="e">
        <f>J28+#REF!</f>
        <v>#REF!</v>
      </c>
      <c r="L28" s="357">
        <v>719.12796502610718</v>
      </c>
      <c r="M28" s="358" t="s">
        <v>0</v>
      </c>
      <c r="O28" s="64"/>
      <c r="P28" s="64"/>
      <c r="U28" s="41"/>
      <c r="V28" s="41"/>
      <c r="W28" s="371"/>
      <c r="X28" s="41"/>
    </row>
    <row r="29" spans="3:24" ht="12.75" hidden="1" customHeight="1">
      <c r="C29" s="342" t="s">
        <v>1</v>
      </c>
      <c r="D29" s="357">
        <f>-'import de licitació'!J3-(-'import de licitació'!J3*0.1%)</f>
        <v>-398108.84013912891</v>
      </c>
      <c r="E29" s="357">
        <f t="shared" ref="E29:E41" si="7">D29*0.0318</f>
        <v>-12659.861116424299</v>
      </c>
      <c r="F29" s="357">
        <f t="shared" si="6"/>
        <v>-47284.664040000003</v>
      </c>
      <c r="G29" s="357">
        <v>6917.0806147980002</v>
      </c>
      <c r="H29" s="357">
        <v>6591.8000297627814</v>
      </c>
      <c r="I29" s="357">
        <v>59654.765342435814</v>
      </c>
      <c r="J29" s="357">
        <v>26572.140897976322</v>
      </c>
      <c r="K29" s="357" t="e">
        <f>J29+#REF!</f>
        <v>#REF!</v>
      </c>
      <c r="L29" s="357">
        <v>3501.9527220565428</v>
      </c>
      <c r="M29" s="358" t="s">
        <v>1</v>
      </c>
      <c r="O29" s="64"/>
      <c r="P29" s="64"/>
      <c r="U29" s="41"/>
      <c r="V29" s="41"/>
      <c r="W29" s="371"/>
      <c r="X29" s="41"/>
    </row>
    <row r="30" spans="3:24" ht="12.75" hidden="1" customHeight="1">
      <c r="C30" s="342" t="s">
        <v>2</v>
      </c>
      <c r="D30" s="357">
        <f>-'import de licitació'!J4-(-'import de licitació'!J4*0.1%)</f>
        <v>-147884.16358654085</v>
      </c>
      <c r="E30" s="357">
        <f t="shared" si="7"/>
        <v>-4702.7164020519995</v>
      </c>
      <c r="F30" s="357">
        <f t="shared" si="6"/>
        <v>-17963.929680000005</v>
      </c>
      <c r="G30" s="357">
        <v>2692.6233444613181</v>
      </c>
      <c r="H30" s="357">
        <v>1899.6801905050174</v>
      </c>
      <c r="I30" s="357">
        <v>22942.754243737698</v>
      </c>
      <c r="J30" s="357">
        <v>11507.242524558</v>
      </c>
      <c r="K30" s="357" t="e">
        <f>J30+#REF!</f>
        <v>#REF!</v>
      </c>
      <c r="L30" s="357">
        <v>2127.0494292791982</v>
      </c>
      <c r="M30" s="358" t="s">
        <v>2</v>
      </c>
      <c r="O30" s="64"/>
      <c r="P30" s="64"/>
      <c r="U30" s="41"/>
      <c r="V30" s="41"/>
      <c r="W30" s="371"/>
      <c r="X30" s="41"/>
    </row>
    <row r="31" spans="3:24" ht="12.75" hidden="1" customHeight="1">
      <c r="C31" s="342" t="s">
        <v>12</v>
      </c>
      <c r="D31" s="357">
        <f>-'import de licitació'!J5-(-'import de licitació'!J5*0.1%)</f>
        <v>-38424.018988962787</v>
      </c>
      <c r="E31" s="357">
        <f t="shared" si="7"/>
        <v>-1221.8838038490167</v>
      </c>
      <c r="F31" s="357">
        <f t="shared" si="6"/>
        <v>-6679.1112000000012</v>
      </c>
      <c r="G31" s="357">
        <v>1401.7061360812827</v>
      </c>
      <c r="H31" s="357">
        <v>849.32585945872393</v>
      </c>
      <c r="I31" s="357">
        <v>8375.1216567014017</v>
      </c>
      <c r="J31" s="357">
        <v>4269.9548502779999</v>
      </c>
      <c r="K31" s="357" t="e">
        <f>J31+#REF!</f>
        <v>#REF!</v>
      </c>
      <c r="L31" s="357">
        <v>544.37615914897083</v>
      </c>
      <c r="M31" s="358" t="s">
        <v>12</v>
      </c>
      <c r="O31" s="64"/>
      <c r="P31" s="64"/>
      <c r="U31" s="41"/>
      <c r="V31" s="41"/>
      <c r="W31" s="371"/>
      <c r="X31" s="41"/>
    </row>
    <row r="32" spans="3:24" ht="12.75" hidden="1" customHeight="1">
      <c r="C32" s="342" t="s">
        <v>3</v>
      </c>
      <c r="D32" s="357">
        <f>-'import de licitació'!J6-(-'import de licitació'!J6*0.1%)</f>
        <v>-84344.211822044264</v>
      </c>
      <c r="E32" s="357">
        <f t="shared" si="7"/>
        <v>-2682.1459359410078</v>
      </c>
      <c r="F32" s="357">
        <f t="shared" si="6"/>
        <v>-9052.8435600000012</v>
      </c>
      <c r="G32" s="357">
        <v>1754.9173886056567</v>
      </c>
      <c r="H32" s="357">
        <v>1161.6677457831649</v>
      </c>
      <c r="I32" s="357">
        <v>12863.191730635868</v>
      </c>
      <c r="J32" s="357">
        <v>5787.6062081460004</v>
      </c>
      <c r="K32" s="357" t="e">
        <f>J32+#REF!</f>
        <v>#REF!</v>
      </c>
      <c r="L32" s="357">
        <v>559.19343616963386</v>
      </c>
      <c r="M32" s="358" t="s">
        <v>3</v>
      </c>
      <c r="O32" s="64"/>
      <c r="P32" s="64"/>
      <c r="U32" s="41"/>
      <c r="V32" s="41"/>
      <c r="W32" s="371"/>
      <c r="X32" s="41"/>
    </row>
    <row r="33" spans="1:24" ht="12.75" hidden="1" customHeight="1">
      <c r="C33" s="342" t="s">
        <v>4</v>
      </c>
      <c r="D33" s="357">
        <f>-'import de licitació'!J7-(-'import de licitació'!J7*0.1%)</f>
        <v>-110772.8354493259</v>
      </c>
      <c r="E33" s="357">
        <f t="shared" si="7"/>
        <v>-3522.5761672885637</v>
      </c>
      <c r="F33" s="357">
        <f t="shared" si="6"/>
        <v>-12462.271080000002</v>
      </c>
      <c r="G33" s="357">
        <v>1898.6972761934182</v>
      </c>
      <c r="H33" s="357">
        <v>1349.5698017184839</v>
      </c>
      <c r="I33" s="357">
        <v>16032.852440864026</v>
      </c>
      <c r="J33" s="357">
        <v>7980.2741682420001</v>
      </c>
      <c r="K33" s="357" t="e">
        <f>J33+#REF!</f>
        <v>#REF!</v>
      </c>
      <c r="L33" s="357">
        <v>617.97532667112819</v>
      </c>
      <c r="M33" s="358" t="s">
        <v>4</v>
      </c>
      <c r="O33" s="64"/>
      <c r="P33" s="64"/>
      <c r="U33" s="41"/>
      <c r="V33" s="41"/>
      <c r="W33" s="371"/>
      <c r="X33" s="41"/>
    </row>
    <row r="34" spans="1:24" ht="12.75" hidden="1" customHeight="1">
      <c r="C34" s="342" t="s">
        <v>5</v>
      </c>
      <c r="D34" s="357">
        <f>-'import de licitació'!J8-(-'import de licitació'!J8*0.1%)</f>
        <v>-169115.17674301707</v>
      </c>
      <c r="E34" s="357">
        <f t="shared" si="7"/>
        <v>-5377.8626204279435</v>
      </c>
      <c r="F34" s="357">
        <f t="shared" si="6"/>
        <v>-24721.067880000002</v>
      </c>
      <c r="G34" s="357">
        <v>4323.2631427129118</v>
      </c>
      <c r="H34" s="357">
        <v>3061.8391618200603</v>
      </c>
      <c r="I34" s="357">
        <v>28308.678692048186</v>
      </c>
      <c r="J34" s="357">
        <v>15773.760480258001</v>
      </c>
      <c r="K34" s="357" t="e">
        <f>J34+#REF!</f>
        <v>#REF!</v>
      </c>
      <c r="L34" s="357">
        <v>2696.8513240109578</v>
      </c>
      <c r="M34" s="358" t="s">
        <v>5</v>
      </c>
      <c r="O34" s="64"/>
      <c r="P34" s="64"/>
      <c r="U34" s="41"/>
      <c r="V34" s="41"/>
      <c r="W34" s="371"/>
      <c r="X34" s="41"/>
    </row>
    <row r="35" spans="1:24" ht="12.75" hidden="1" customHeight="1">
      <c r="C35" s="342" t="s">
        <v>6</v>
      </c>
      <c r="D35" s="357">
        <f>-'import de licitació'!J9-(-'import de licitació'!J9*0.1%)</f>
        <v>-29490.896407881155</v>
      </c>
      <c r="E35" s="357">
        <f t="shared" si="7"/>
        <v>-937.81050577062081</v>
      </c>
      <c r="F35" s="357">
        <f t="shared" si="6"/>
        <v>-3811.94616</v>
      </c>
      <c r="G35" s="357">
        <v>507.51474925301432</v>
      </c>
      <c r="H35" s="357">
        <v>387.94065141469628</v>
      </c>
      <c r="I35" s="357">
        <v>4879.9486259556725</v>
      </c>
      <c r="J35" s="357">
        <v>2441.7738243119998</v>
      </c>
      <c r="K35" s="357" t="e">
        <f>J35+#REF!</f>
        <v>#REF!</v>
      </c>
      <c r="L35" s="357">
        <v>414.34702588844783</v>
      </c>
      <c r="M35" s="358" t="s">
        <v>6</v>
      </c>
      <c r="O35" s="64"/>
      <c r="P35" s="64"/>
      <c r="U35" s="41"/>
      <c r="V35" s="41"/>
      <c r="W35" s="371"/>
      <c r="X35" s="41"/>
    </row>
    <row r="36" spans="1:24" ht="12.75" hidden="1" customHeight="1">
      <c r="C36" s="342" t="s">
        <v>7</v>
      </c>
      <c r="D36" s="357">
        <f>-'import de licitació'!J10-(-'import de licitació'!J10*0.1%)</f>
        <v>-59458.732639502268</v>
      </c>
      <c r="E36" s="357">
        <f t="shared" si="7"/>
        <v>-1890.7876979361722</v>
      </c>
      <c r="F36" s="357">
        <f t="shared" si="6"/>
        <v>-6175.2078000000001</v>
      </c>
      <c r="G36" s="357">
        <v>957.18623746758226</v>
      </c>
      <c r="H36" s="357">
        <v>819.89610556201478</v>
      </c>
      <c r="I36" s="357">
        <v>8285.6999461691903</v>
      </c>
      <c r="J36" s="357">
        <v>3950.3466139319999</v>
      </c>
      <c r="K36" s="357" t="e">
        <f>J36+#REF!</f>
        <v>#REF!</v>
      </c>
      <c r="L36" s="357">
        <v>508.13159673909053</v>
      </c>
      <c r="M36" s="358" t="s">
        <v>7</v>
      </c>
      <c r="O36" s="64"/>
      <c r="P36" s="64"/>
      <c r="U36" s="41"/>
      <c r="V36" s="41"/>
      <c r="W36" s="371"/>
      <c r="X36" s="41"/>
    </row>
    <row r="37" spans="1:24" ht="12.75" hidden="1" customHeight="1">
      <c r="C37" s="342" t="s">
        <v>8</v>
      </c>
      <c r="D37" s="357">
        <f>-'import de licitació'!J11-(-'import de licitació'!J11*0.1%)</f>
        <v>-273510.16110698029</v>
      </c>
      <c r="E37" s="357">
        <f t="shared" si="7"/>
        <v>-8697.6231232019745</v>
      </c>
      <c r="F37" s="357">
        <f t="shared" si="6"/>
        <v>-31518.880800000006</v>
      </c>
      <c r="G37" s="357">
        <v>4819.3202651864121</v>
      </c>
      <c r="H37" s="357">
        <v>3703.5034738555473</v>
      </c>
      <c r="I37" s="357">
        <v>43922.91822005545</v>
      </c>
      <c r="J37" s="357">
        <v>20146.402871646002</v>
      </c>
      <c r="K37" s="357" t="e">
        <f>J37+#REF!</f>
        <v>#REF!</v>
      </c>
      <c r="L37" s="357">
        <v>3473.8779395852184</v>
      </c>
      <c r="M37" s="358" t="s">
        <v>8</v>
      </c>
      <c r="O37" s="64"/>
      <c r="P37" s="64"/>
      <c r="U37" s="41"/>
      <c r="V37" s="41"/>
      <c r="W37" s="371"/>
      <c r="X37" s="41"/>
    </row>
    <row r="38" spans="1:24" ht="12.75" hidden="1" customHeight="1">
      <c r="C38" s="342" t="s">
        <v>9</v>
      </c>
      <c r="D38" s="357">
        <f>-'import de licitació'!J12-(-'import de licitació'!J12*0.1%)</f>
        <v>-299971.56266311265</v>
      </c>
      <c r="E38" s="357">
        <f t="shared" si="7"/>
        <v>-9539.0956926869821</v>
      </c>
      <c r="F38" s="357">
        <f t="shared" si="6"/>
        <v>-35116.177199999998</v>
      </c>
      <c r="G38" s="357">
        <v>7222.4203040169205</v>
      </c>
      <c r="H38" s="357">
        <v>4824.3284855737311</v>
      </c>
      <c r="I38" s="357">
        <v>46515.877744509395</v>
      </c>
      <c r="J38" s="357">
        <v>22503.022353780001</v>
      </c>
      <c r="K38" s="357" t="e">
        <f>J38+#REF!</f>
        <v>#REF!</v>
      </c>
      <c r="M38" s="358" t="s">
        <v>9</v>
      </c>
      <c r="O38" s="64"/>
      <c r="P38" s="64"/>
      <c r="U38" s="41"/>
      <c r="V38" s="41"/>
      <c r="W38" s="371"/>
      <c r="X38" s="41"/>
    </row>
    <row r="39" spans="1:24" ht="12.75" hidden="1" customHeight="1">
      <c r="C39" s="342" t="s">
        <v>10</v>
      </c>
      <c r="D39" s="357">
        <f>-'import de licitació'!J13-(-'import de licitació'!J13*0.1%)</f>
        <v>-54242.156425169393</v>
      </c>
      <c r="E39" s="357">
        <f t="shared" si="7"/>
        <v>-1724.9005743203868</v>
      </c>
      <c r="F39" s="357">
        <f t="shared" si="6"/>
        <v>-5457.2587200000016</v>
      </c>
      <c r="G39" s="357">
        <v>725.8792767857085</v>
      </c>
      <c r="H39" s="357">
        <v>554.97195718427554</v>
      </c>
      <c r="I39" s="357">
        <v>6979.9421059361675</v>
      </c>
      <c r="J39" s="357">
        <v>3495.6744551640004</v>
      </c>
      <c r="K39" s="357" t="e">
        <f>J39+#REF!</f>
        <v>#REF!</v>
      </c>
      <c r="L39" s="357">
        <v>487.91310274826418</v>
      </c>
      <c r="M39" s="358" t="s">
        <v>10</v>
      </c>
      <c r="O39" s="64"/>
      <c r="P39" s="64"/>
      <c r="U39" s="41"/>
      <c r="V39" s="41"/>
      <c r="W39" s="371"/>
      <c r="X39" s="41"/>
    </row>
    <row r="40" spans="1:24" ht="12.75" hidden="1" customHeight="1">
      <c r="C40" s="342" t="s">
        <v>11</v>
      </c>
      <c r="D40" s="357">
        <f>-'import de licitació'!J14-(-'import de licitació'!J14*0.1%)</f>
        <v>-371878.1129567434</v>
      </c>
      <c r="E40" s="357">
        <f t="shared" si="7"/>
        <v>-11825.723992024441</v>
      </c>
      <c r="F40" s="357">
        <f t="shared" si="6"/>
        <v>-28603.59072</v>
      </c>
      <c r="G40" s="357">
        <v>6544.3824228953308</v>
      </c>
      <c r="H40" s="357">
        <v>4042.8944403663609</v>
      </c>
      <c r="I40" s="357">
        <v>43974.571612550149</v>
      </c>
      <c r="J40" s="357">
        <v>18291.851066039999</v>
      </c>
      <c r="K40" s="357" t="e">
        <f>J40+#REF!</f>
        <v>#REF!</v>
      </c>
      <c r="L40" s="357">
        <v>2226.224372015371</v>
      </c>
      <c r="M40" s="358" t="s">
        <v>11</v>
      </c>
      <c r="O40" s="64"/>
      <c r="P40" s="64"/>
      <c r="U40" s="41"/>
      <c r="V40" s="41"/>
      <c r="W40" s="371"/>
      <c r="X40" s="41"/>
    </row>
    <row r="41" spans="1:24" ht="12.75" hidden="1" customHeight="1">
      <c r="C41" s="342" t="s">
        <v>13</v>
      </c>
      <c r="D41" s="357">
        <f>-'import de licitació'!J15-(-'import de licitació'!J15*0.1%)</f>
        <v>-421343.8841350638</v>
      </c>
      <c r="E41" s="357">
        <f t="shared" si="7"/>
        <v>-13398.735515495029</v>
      </c>
      <c r="F41" s="357">
        <f t="shared" si="6"/>
        <v>-45996.86615999999</v>
      </c>
      <c r="G41" s="357">
        <v>6148.9603684813392</v>
      </c>
      <c r="H41" s="357">
        <v>5887.442117008789</v>
      </c>
      <c r="I41" s="357">
        <v>60513.504017068102</v>
      </c>
      <c r="J41" s="357">
        <v>25841.940503516162</v>
      </c>
      <c r="K41" s="357" t="e">
        <f>J41+#REF!</f>
        <v>#REF!</v>
      </c>
      <c r="M41" s="358" t="s">
        <v>13</v>
      </c>
      <c r="O41" s="64"/>
      <c r="P41" s="64"/>
      <c r="U41" s="41"/>
      <c r="V41" s="41"/>
      <c r="W41" s="371"/>
      <c r="X41" s="41"/>
    </row>
    <row r="42" spans="1:24" ht="12.75" hidden="1" customHeight="1">
      <c r="D42" s="357">
        <f>SUM(D28:D41)</f>
        <v>-2514660.0877902019</v>
      </c>
      <c r="E42" s="357">
        <f>D42*0.0312</f>
        <v>-78457.394739054289</v>
      </c>
      <c r="F42" s="357">
        <f>SUM(F28:F41)</f>
        <v>-284864.49540000007</v>
      </c>
      <c r="K42" s="64"/>
      <c r="L42" s="64"/>
      <c r="M42" s="64"/>
      <c r="N42" s="41"/>
      <c r="O42" s="64"/>
      <c r="P42" s="64"/>
      <c r="U42" s="41"/>
      <c r="V42" s="41"/>
      <c r="W42" s="41"/>
      <c r="X42" s="41"/>
    </row>
    <row r="43" spans="1:24" ht="12.75" hidden="1" customHeight="1">
      <c r="C43" s="360"/>
      <c r="D43" s="361"/>
      <c r="E43" s="362"/>
      <c r="F43" s="41"/>
      <c r="G43" s="41"/>
      <c r="K43" s="361"/>
      <c r="L43" s="363"/>
      <c r="U43" s="41"/>
      <c r="V43" s="41"/>
      <c r="W43" s="41"/>
      <c r="X43" s="41"/>
    </row>
    <row r="44" spans="1:24" ht="51.75" hidden="1" customHeight="1">
      <c r="C44" s="41"/>
      <c r="D44" s="41"/>
      <c r="E44" s="41"/>
      <c r="F44" s="41"/>
      <c r="G44" s="41"/>
      <c r="H44" s="292"/>
      <c r="K44" s="41"/>
      <c r="L44" s="363"/>
    </row>
    <row r="45" spans="1:24" ht="24.75" hidden="1" customHeight="1">
      <c r="C45" s="596" t="s">
        <v>124</v>
      </c>
      <c r="D45" s="596"/>
      <c r="E45" s="596"/>
      <c r="F45" s="365"/>
      <c r="H45" s="292"/>
      <c r="N45" s="365"/>
    </row>
    <row r="46" spans="1:24" ht="12.75" customHeight="1">
      <c r="A46" s="366"/>
      <c r="B46" s="367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69"/>
      <c r="N46" s="369"/>
      <c r="O46" s="369"/>
      <c r="P46" s="369"/>
    </row>
    <row r="48" spans="1:24" ht="13" thickBot="1"/>
    <row r="49" spans="1:5" ht="23.5" thickBot="1">
      <c r="A49" s="577" t="s">
        <v>442</v>
      </c>
      <c r="B49" s="578" t="s">
        <v>0</v>
      </c>
      <c r="C49" s="578" t="s">
        <v>1</v>
      </c>
      <c r="D49" s="578" t="s">
        <v>2</v>
      </c>
      <c r="E49" s="578" t="s">
        <v>12</v>
      </c>
    </row>
    <row r="50" spans="1:5" ht="13" thickBot="1">
      <c r="A50" s="544" t="s">
        <v>281</v>
      </c>
      <c r="B50" s="545">
        <f>'CÀLCUL QUOTES set25'!D25</f>
        <v>-4039.42</v>
      </c>
      <c r="C50" s="545">
        <f>'CÀLCUL QUOTES set25'!E25</f>
        <v>-20451.574000000001</v>
      </c>
      <c r="D50" s="545">
        <f>'CÀLCUL QUOTES set25'!F25</f>
        <v>-6350.0800000000008</v>
      </c>
      <c r="E50" s="545">
        <f>'CÀLCUL QUOTES set25'!G25</f>
        <v>-3276.9990000000003</v>
      </c>
    </row>
    <row r="51" spans="1:5" ht="13" thickBot="1">
      <c r="A51" s="544" t="s">
        <v>282</v>
      </c>
      <c r="B51" s="545">
        <f>'CÀLCUL QUOTES set25'!D26+'CÀLCUL QUOTES set25'!D27</f>
        <v>0</v>
      </c>
      <c r="C51" s="545">
        <f>'CÀLCUL QUOTES set25'!E26+'CÀLCUL QUOTES set25'!E27</f>
        <v>-35310.83</v>
      </c>
      <c r="D51" s="545">
        <f>'CÀLCUL QUOTES set25'!F26+'CÀLCUL QUOTES set25'!F27</f>
        <v>0</v>
      </c>
      <c r="E51" s="545">
        <f>'CÀLCUL QUOTES set25'!G26+'CÀLCUL QUOTES set25'!G27</f>
        <v>0</v>
      </c>
    </row>
    <row r="52" spans="1:5" ht="13" thickBot="1">
      <c r="A52" s="544" t="s">
        <v>283</v>
      </c>
      <c r="B52" s="545">
        <f>'CÀLCUL QUOTES set25'!D28</f>
        <v>0</v>
      </c>
      <c r="C52" s="545">
        <f>'CÀLCUL QUOTES set25'!E28</f>
        <v>-1798.3680000000002</v>
      </c>
      <c r="D52" s="545">
        <f>'CÀLCUL QUOTES set25'!F28</f>
        <v>0</v>
      </c>
      <c r="E52" s="545">
        <f>'CÀLCUL QUOTES set25'!G28</f>
        <v>0</v>
      </c>
    </row>
    <row r="53" spans="1:5" ht="13" thickBot="1">
      <c r="A53" s="544" t="s">
        <v>284</v>
      </c>
      <c r="B53" s="545">
        <f>'CÀLCUL QUOTES set25'!D29</f>
        <v>-1072.28</v>
      </c>
      <c r="C53" s="545">
        <f>'CÀLCUL QUOTES set25'!E29</f>
        <v>-3819.18</v>
      </c>
      <c r="D53" s="545">
        <f>'CÀLCUL QUOTES set25'!F29</f>
        <v>-1321.98</v>
      </c>
      <c r="E53" s="545">
        <f>'CÀLCUL QUOTES set25'!G29</f>
        <v>-525.72</v>
      </c>
    </row>
    <row r="54" spans="1:5" ht="13" thickBot="1">
      <c r="A54" s="544" t="s">
        <v>285</v>
      </c>
      <c r="B54" s="545">
        <f>'CÀLCUL QUOTES set25'!D30</f>
        <v>0</v>
      </c>
      <c r="C54" s="545">
        <f>'CÀLCUL QUOTES set25'!E30</f>
        <v>-44780.29</v>
      </c>
      <c r="D54" s="545">
        <f>'CÀLCUL QUOTES set25'!F30</f>
        <v>-15740.51</v>
      </c>
      <c r="E54" s="545">
        <f>'CÀLCUL QUOTES set25'!G30</f>
        <v>-4336.8900000000003</v>
      </c>
    </row>
    <row r="55" spans="1:5" ht="13" thickBot="1">
      <c r="A55" s="544" t="s">
        <v>397</v>
      </c>
      <c r="B55" s="545">
        <f>'CÀLCUL QUOTES set25'!D31</f>
        <v>0</v>
      </c>
      <c r="C55" s="545">
        <f>'CÀLCUL QUOTES set25'!E31</f>
        <v>0</v>
      </c>
      <c r="D55" s="545">
        <f>'CÀLCUL QUOTES set25'!F31</f>
        <v>0</v>
      </c>
      <c r="E55" s="545">
        <f>'CÀLCUL QUOTES set25'!G31</f>
        <v>-3525.12</v>
      </c>
    </row>
    <row r="56" spans="1:5" ht="13" thickBot="1">
      <c r="A56" s="546" t="s">
        <v>286</v>
      </c>
      <c r="B56" s="545">
        <f>'CÀLCUL QUOTES set25'!D32</f>
        <v>0</v>
      </c>
      <c r="C56" s="545">
        <f>'CÀLCUL QUOTES set25'!E32</f>
        <v>0</v>
      </c>
      <c r="D56" s="545">
        <f>'CÀLCUL QUOTES set25'!F32</f>
        <v>0</v>
      </c>
      <c r="E56" s="545">
        <f>'CÀLCUL QUOTES set25'!G32</f>
        <v>0</v>
      </c>
    </row>
    <row r="57" spans="1:5" ht="23.5" thickBot="1">
      <c r="A57" s="547" t="s">
        <v>288</v>
      </c>
      <c r="B57" s="545">
        <f>'CÀLCUL QUOTES set25'!D33</f>
        <v>0</v>
      </c>
      <c r="C57" s="545">
        <f>'CÀLCUL QUOTES set25'!E33</f>
        <v>-8789.0400000000009</v>
      </c>
      <c r="D57" s="545">
        <f>'CÀLCUL QUOTES set25'!F33</f>
        <v>-600</v>
      </c>
      <c r="E57" s="545">
        <f>'CÀLCUL QUOTES set25'!G33</f>
        <v>0</v>
      </c>
    </row>
    <row r="58" spans="1:5" ht="13" thickBot="1">
      <c r="A58" s="548" t="s">
        <v>287</v>
      </c>
      <c r="B58" s="549">
        <f>SUM(B50:B57)</f>
        <v>-5111.7</v>
      </c>
      <c r="C58" s="549">
        <f>SUM(C50:C57)</f>
        <v>-114949.28200000001</v>
      </c>
      <c r="D58" s="549">
        <f>SUM(D50:D57)</f>
        <v>-24012.57</v>
      </c>
      <c r="E58" s="549">
        <f>SUM(E50:E57)</f>
        <v>-11664.728999999999</v>
      </c>
    </row>
    <row r="59" spans="1:5">
      <c r="A59" s="134"/>
      <c r="B59" s="134"/>
      <c r="C59" s="134"/>
      <c r="D59" s="134"/>
      <c r="E59" s="134"/>
    </row>
    <row r="60" spans="1:5" ht="13" thickBot="1">
      <c r="A60" s="134"/>
      <c r="B60" s="134"/>
      <c r="C60" s="134"/>
      <c r="D60" s="134"/>
      <c r="E60" s="134"/>
    </row>
    <row r="61" spans="1:5" ht="23.5" thickBot="1">
      <c r="A61" s="577" t="s">
        <v>442</v>
      </c>
      <c r="B61" s="578" t="s">
        <v>109</v>
      </c>
      <c r="C61" s="578" t="s">
        <v>4</v>
      </c>
      <c r="D61" s="579" t="s">
        <v>5</v>
      </c>
      <c r="E61" s="578" t="s">
        <v>6</v>
      </c>
    </row>
    <row r="62" spans="1:5" ht="13" thickBot="1">
      <c r="A62" s="544" t="s">
        <v>281</v>
      </c>
      <c r="B62" s="545">
        <f>'CÀLCUL QUOTES set25'!H25</f>
        <v>-4261.4000000000005</v>
      </c>
      <c r="C62" s="545">
        <f>'CÀLCUL QUOTES set25'!I25</f>
        <v>-4578.42</v>
      </c>
      <c r="D62" s="545">
        <f>'CÀLCUL QUOTES set25'!J25</f>
        <v>-14988.501</v>
      </c>
      <c r="E62" s="545">
        <f>'CÀLCUL QUOTES set25'!K25</f>
        <v>-2800.2919999999999</v>
      </c>
    </row>
    <row r="63" spans="1:5" ht="13" thickBot="1">
      <c r="A63" s="544" t="s">
        <v>282</v>
      </c>
      <c r="B63" s="545">
        <f>'CÀLCUL QUOTES set25'!H26+'CÀLCUL QUOTES set25'!H27</f>
        <v>-6000</v>
      </c>
      <c r="C63" s="545">
        <f>'CÀLCUL QUOTES set25'!I26+'CÀLCUL QUOTES set25'!I27</f>
        <v>-1600</v>
      </c>
      <c r="D63" s="545">
        <f>'CÀLCUL QUOTES set25'!J26+'CÀLCUL QUOTES set25'!J27</f>
        <v>0</v>
      </c>
      <c r="E63" s="545">
        <f>'CÀLCUL QUOTES set25'!K26+'CÀLCUL QUOTES set25'!K27</f>
        <v>0</v>
      </c>
    </row>
    <row r="64" spans="1:5" ht="13" thickBot="1">
      <c r="A64" s="544" t="s">
        <v>283</v>
      </c>
      <c r="B64" s="545">
        <f>'CÀLCUL QUOTES set25'!H28</f>
        <v>-1489.7080000000001</v>
      </c>
      <c r="C64" s="545">
        <f>'CÀLCUL QUOTES set25'!I28</f>
        <v>-268.334</v>
      </c>
      <c r="D64" s="545">
        <f>'CÀLCUL QUOTES set25'!J28</f>
        <v>0</v>
      </c>
      <c r="E64" s="545">
        <f>'CÀLCUL QUOTES set25'!K28</f>
        <v>0</v>
      </c>
    </row>
    <row r="65" spans="1:5" ht="13" thickBot="1">
      <c r="A65" s="544" t="s">
        <v>284</v>
      </c>
      <c r="B65" s="545">
        <f>'CÀLCUL QUOTES set25'!H29</f>
        <v>-1217</v>
      </c>
      <c r="C65" s="545">
        <f>'CÀLCUL QUOTES set25'!I29</f>
        <v>-722.44</v>
      </c>
      <c r="D65" s="545">
        <f>'CÀLCUL QUOTES set25'!J29</f>
        <v>-3674.84</v>
      </c>
      <c r="E65" s="545">
        <f>'CÀLCUL QUOTES set25'!K29</f>
        <v>-410.38</v>
      </c>
    </row>
    <row r="66" spans="1:5" ht="13" thickBot="1">
      <c r="A66" s="544" t="s">
        <v>285</v>
      </c>
      <c r="B66" s="545">
        <f>'CÀLCUL QUOTES set25'!H30</f>
        <v>-2677.1024999999995</v>
      </c>
      <c r="C66" s="545">
        <f>'CÀLCUL QUOTES set25'!I30</f>
        <v>-7358.98</v>
      </c>
      <c r="D66" s="545">
        <f>'CÀLCUL QUOTES set25'!J30</f>
        <v>-9887.9599999999991</v>
      </c>
      <c r="E66" s="545">
        <f>'CÀLCUL QUOTES set25'!K30</f>
        <v>-2379.23</v>
      </c>
    </row>
    <row r="67" spans="1:5" ht="13" thickBot="1">
      <c r="A67" s="544" t="s">
        <v>397</v>
      </c>
      <c r="B67" s="545">
        <f>'CÀLCUL QUOTES set25'!H31</f>
        <v>-3525.12</v>
      </c>
      <c r="C67" s="545">
        <f>'CÀLCUL QUOTES set25'!I31</f>
        <v>-1175.04</v>
      </c>
      <c r="D67" s="545">
        <f>'CÀLCUL QUOTES set25'!J31</f>
        <v>-4524</v>
      </c>
      <c r="E67" s="545">
        <f>'CÀLCUL QUOTES set25'!K31</f>
        <v>0</v>
      </c>
    </row>
    <row r="68" spans="1:5" ht="13" thickBot="1">
      <c r="A68" s="544" t="s">
        <v>286</v>
      </c>
      <c r="B68" s="545">
        <f>'CÀLCUL QUOTES set25'!H32</f>
        <v>0</v>
      </c>
      <c r="C68" s="545">
        <f>'CÀLCUL QUOTES set25'!I32</f>
        <v>0</v>
      </c>
      <c r="D68" s="545">
        <f>'CÀLCUL QUOTES set25'!J32</f>
        <v>0</v>
      </c>
      <c r="E68" s="545">
        <f>'CÀLCUL QUOTES set25'!K32</f>
        <v>0</v>
      </c>
    </row>
    <row r="69" spans="1:5" ht="23.5" thickBot="1">
      <c r="A69" s="547" t="s">
        <v>288</v>
      </c>
      <c r="B69" s="545">
        <f>'CÀLCUL QUOTES set25'!H33</f>
        <v>0</v>
      </c>
      <c r="C69" s="545">
        <f>'CÀLCUL QUOTES set25'!I33</f>
        <v>-524.12</v>
      </c>
      <c r="D69" s="545">
        <f>'CÀLCUL QUOTES set25'!J33</f>
        <v>2774</v>
      </c>
      <c r="E69" s="545">
        <f>'CÀLCUL QUOTES set25'!K33</f>
        <v>-185.6</v>
      </c>
    </row>
    <row r="70" spans="1:5" ht="13" thickBot="1">
      <c r="A70" s="548" t="s">
        <v>287</v>
      </c>
      <c r="B70" s="549">
        <f>SUM(B62:B69)</f>
        <v>-19170.3305</v>
      </c>
      <c r="C70" s="549">
        <f>SUM(C62:C69)</f>
        <v>-16227.334000000001</v>
      </c>
      <c r="D70" s="549">
        <f>SUM(D62:D69)</f>
        <v>-30301.300999999999</v>
      </c>
      <c r="E70" s="549">
        <f>SUM(E62:E69)</f>
        <v>-5775.5020000000004</v>
      </c>
    </row>
    <row r="71" spans="1:5">
      <c r="A71" s="134"/>
      <c r="B71" s="134"/>
      <c r="C71" s="134"/>
      <c r="D71" s="134"/>
      <c r="E71" s="134"/>
    </row>
    <row r="72" spans="1:5" ht="23.5" thickBot="1">
      <c r="A72" s="580" t="s">
        <v>442</v>
      </c>
      <c r="B72" s="581" t="s">
        <v>8</v>
      </c>
      <c r="C72" s="581" t="s">
        <v>428</v>
      </c>
      <c r="D72" s="582" t="s">
        <v>9</v>
      </c>
      <c r="E72" s="582" t="s">
        <v>10</v>
      </c>
    </row>
    <row r="73" spans="1:5" ht="13" thickBot="1">
      <c r="A73" s="544" t="s">
        <v>281</v>
      </c>
      <c r="B73" s="545">
        <f>'CÀLCUL QUOTES set25'!L25</f>
        <v>-17738.622000000003</v>
      </c>
      <c r="C73" s="545">
        <f>'CÀLCUL QUOTES set25'!M25</f>
        <v>-2373.6460000000002</v>
      </c>
      <c r="D73" s="545">
        <f>'CÀLCUL QUOTES set25'!N25</f>
        <v>0</v>
      </c>
      <c r="E73" s="545">
        <f>'CÀLCUL QUOTES set25'!O25</f>
        <v>-3198.3490000000006</v>
      </c>
    </row>
    <row r="74" spans="1:5" ht="13" thickBot="1">
      <c r="A74" s="544" t="s">
        <v>282</v>
      </c>
      <c r="B74" s="545">
        <f>'CÀLCUL QUOTES set25'!L26+'CÀLCUL QUOTES set25'!L27</f>
        <v>-7500.2400000000016</v>
      </c>
      <c r="C74" s="545">
        <f>'CÀLCUL QUOTES set25'!M26+'CÀLCUL QUOTES set25'!M27</f>
        <v>0</v>
      </c>
      <c r="D74" s="545">
        <f>'CÀLCUL QUOTES set25'!N26+'CÀLCUL QUOTES set25'!N27</f>
        <v>-18182.400000000001</v>
      </c>
      <c r="E74" s="545">
        <f>'CÀLCUL QUOTES set25'!O26+'CÀLCUL QUOTES set25'!O27</f>
        <v>0</v>
      </c>
    </row>
    <row r="75" spans="1:5" ht="13" thickBot="1">
      <c r="A75" s="544" t="s">
        <v>283</v>
      </c>
      <c r="B75" s="545">
        <f>'CÀLCUL QUOTES set25'!L28</f>
        <v>-740.21199999999999</v>
      </c>
      <c r="C75" s="545">
        <f>'CÀLCUL QUOTES set25'!M28</f>
        <v>0</v>
      </c>
      <c r="D75" s="545">
        <f>'CÀLCUL QUOTES set25'!N28</f>
        <v>-1793.5280000000002</v>
      </c>
      <c r="E75" s="545">
        <f>'CÀLCUL QUOTES set25'!O28</f>
        <v>0</v>
      </c>
    </row>
    <row r="76" spans="1:5" ht="13" thickBot="1">
      <c r="A76" s="544" t="s">
        <v>284</v>
      </c>
      <c r="B76" s="545">
        <f>'CÀLCUL QUOTES set25'!L29</f>
        <v>-3512.82</v>
      </c>
      <c r="C76" s="545">
        <f>'CÀLCUL QUOTES set25'!M29</f>
        <v>0</v>
      </c>
      <c r="D76" s="545">
        <f>'CÀLCUL QUOTES set25'!N29</f>
        <v>0</v>
      </c>
      <c r="E76" s="545">
        <f>'CÀLCUL QUOTES set25'!O29</f>
        <v>-493.48</v>
      </c>
    </row>
    <row r="77" spans="1:5" ht="13" thickBot="1">
      <c r="A77" s="544" t="s">
        <v>285</v>
      </c>
      <c r="B77" s="545">
        <f>'CÀLCUL QUOTES set25'!L30</f>
        <v>0</v>
      </c>
      <c r="C77" s="545">
        <f>'CÀLCUL QUOTES set25'!M30</f>
        <v>-551.23</v>
      </c>
      <c r="D77" s="545">
        <f>'CÀLCUL QUOTES set25'!N30</f>
        <v>-53234.59</v>
      </c>
      <c r="E77" s="545">
        <f>'CÀLCUL QUOTES set25'!O30</f>
        <v>-2744.57</v>
      </c>
    </row>
    <row r="78" spans="1:5" ht="13" thickBot="1">
      <c r="A78" s="544" t="s">
        <v>397</v>
      </c>
      <c r="B78" s="545">
        <f>'CÀLCUL QUOTES set25'!L31</f>
        <v>0</v>
      </c>
      <c r="C78" s="545">
        <f>'CÀLCUL QUOTES set25'!M31</f>
        <v>0</v>
      </c>
      <c r="D78" s="545">
        <f>'CÀLCUL QUOTES set25'!N31</f>
        <v>0</v>
      </c>
      <c r="E78" s="545">
        <f>'CÀLCUL QUOTES set25'!O31</f>
        <v>0</v>
      </c>
    </row>
    <row r="79" spans="1:5" ht="13" thickBot="1">
      <c r="A79" s="544" t="s">
        <v>286</v>
      </c>
      <c r="B79" s="545">
        <f>'CÀLCUL QUOTES set25'!L32</f>
        <v>0</v>
      </c>
      <c r="C79" s="545">
        <f>'CÀLCUL QUOTES set25'!M32</f>
        <v>0</v>
      </c>
      <c r="D79" s="545">
        <f>'CÀLCUL QUOTES set25'!N32</f>
        <v>0</v>
      </c>
      <c r="E79" s="545">
        <f>'CÀLCUL QUOTES set25'!O32</f>
        <v>0</v>
      </c>
    </row>
    <row r="80" spans="1:5" ht="23.5" thickBot="1">
      <c r="A80" s="547" t="s">
        <v>288</v>
      </c>
      <c r="B80" s="545">
        <f>'CÀLCUL QUOTES set25'!L33</f>
        <v>-6272.16</v>
      </c>
      <c r="C80" s="545">
        <f>'CÀLCUL QUOTES set25'!M33</f>
        <v>0</v>
      </c>
      <c r="D80" s="545">
        <f>'CÀLCUL QUOTES set25'!N33</f>
        <v>-2883.92</v>
      </c>
      <c r="E80" s="545">
        <f>'CÀLCUL QUOTES set25'!O33</f>
        <v>0</v>
      </c>
    </row>
    <row r="81" spans="1:5" ht="13" thickBot="1">
      <c r="A81" s="548" t="s">
        <v>287</v>
      </c>
      <c r="B81" s="549">
        <f>SUM(B73:B80)</f>
        <v>-35764.054000000004</v>
      </c>
      <c r="C81" s="549">
        <f>SUM(C73:C80)</f>
        <v>-2924.8760000000002</v>
      </c>
      <c r="D81" s="549">
        <f>SUM(D73:D80)</f>
        <v>-76094.437999999995</v>
      </c>
      <c r="E81" s="549">
        <f>SUM(E73:E80)</f>
        <v>-6436.3990000000013</v>
      </c>
    </row>
    <row r="82" spans="1:5">
      <c r="A82" s="550"/>
      <c r="B82" s="550"/>
      <c r="C82" s="550"/>
      <c r="D82" s="550"/>
      <c r="E82" s="134"/>
    </row>
    <row r="83" spans="1:5" ht="13" thickBot="1">
      <c r="A83" s="134"/>
      <c r="B83" s="134"/>
      <c r="C83" s="134"/>
      <c r="D83" s="134"/>
      <c r="E83" s="134"/>
    </row>
    <row r="84" spans="1:5" ht="23.5" thickBot="1">
      <c r="A84" s="577" t="s">
        <v>442</v>
      </c>
      <c r="B84" s="578" t="s">
        <v>11</v>
      </c>
      <c r="C84" s="578" t="s">
        <v>110</v>
      </c>
      <c r="D84" s="583" t="s">
        <v>14</v>
      </c>
      <c r="E84" s="134"/>
    </row>
    <row r="85" spans="1:5" ht="13" thickBot="1">
      <c r="A85" s="544" t="s">
        <v>281</v>
      </c>
      <c r="B85" s="545">
        <f>'CÀLCUL QUOTES set25'!P25</f>
        <v>-16923.940000000002</v>
      </c>
      <c r="C85" s="545">
        <f>'CÀLCUL QUOTES set25'!Q25</f>
        <v>-14999.797340000003</v>
      </c>
      <c r="D85" s="551">
        <f>B50+C50+D50+E50+B62+C62+D62+E62+B73+C73+D73+E73+B85+C85</f>
        <v>-115981.04034000001</v>
      </c>
      <c r="E85" s="134"/>
    </row>
    <row r="86" spans="1:5" ht="13" thickBot="1">
      <c r="A86" s="544" t="s">
        <v>282</v>
      </c>
      <c r="B86" s="545">
        <f>'CÀLCUL QUOTES set25'!P26+'CÀLCUL QUOTES set25'!P27</f>
        <v>-15909.600000000002</v>
      </c>
      <c r="C86" s="545">
        <f>'CÀLCUL QUOTES set25'!Q26+'CÀLCUL QUOTES set25'!Q27</f>
        <v>-12590.970000000001</v>
      </c>
      <c r="D86" s="551">
        <f t="shared" ref="D86:D93" si="8">B51+C51+D51+E51+B63+C63+D63+E63+B74+C74+D74+E74+B86+C86</f>
        <v>-97094.040000000008</v>
      </c>
      <c r="E86" s="134"/>
    </row>
    <row r="87" spans="1:5" ht="13" thickBot="1">
      <c r="A87" s="544" t="s">
        <v>283</v>
      </c>
      <c r="B87" s="545">
        <f>'CÀLCUL QUOTES set25'!P28</f>
        <v>-1704.1640000000002</v>
      </c>
      <c r="C87" s="545">
        <f>'CÀLCUL QUOTES set25'!Q28</f>
        <v>-935.85800000000006</v>
      </c>
      <c r="D87" s="551">
        <f t="shared" si="8"/>
        <v>-8730.1720000000005</v>
      </c>
      <c r="E87" s="134"/>
    </row>
    <row r="88" spans="1:5" ht="13" thickBot="1">
      <c r="A88" s="544" t="s">
        <v>284</v>
      </c>
      <c r="B88" s="545">
        <f>'CÀLCUL QUOTES set25'!P29</f>
        <v>-3340.42</v>
      </c>
      <c r="C88" s="545">
        <f>'CÀLCUL QUOTES set25'!Q29</f>
        <v>-1728.66</v>
      </c>
      <c r="D88" s="551">
        <f t="shared" si="8"/>
        <v>-21839.200000000001</v>
      </c>
      <c r="E88" s="134"/>
    </row>
    <row r="89" spans="1:5" ht="13" thickBot="1">
      <c r="A89" s="544" t="s">
        <v>285</v>
      </c>
      <c r="B89" s="545">
        <f>'CÀLCUL QUOTES set25'!P30</f>
        <v>-19010.955000000002</v>
      </c>
      <c r="C89" s="545">
        <f>'CÀLCUL QUOTES set25'!Q30</f>
        <v>-32280.160000000003</v>
      </c>
      <c r="D89" s="551">
        <f t="shared" si="8"/>
        <v>-194982.4675</v>
      </c>
      <c r="E89" s="134"/>
    </row>
    <row r="90" spans="1:5" ht="13" thickBot="1">
      <c r="A90" s="544" t="s">
        <v>397</v>
      </c>
      <c r="B90" s="545">
        <f>'CÀLCUL QUOTES set25'!P31</f>
        <v>0</v>
      </c>
      <c r="C90" s="545">
        <f>'CÀLCUL QUOTES set25'!Q31</f>
        <v>0</v>
      </c>
      <c r="D90" s="551">
        <f t="shared" si="8"/>
        <v>-12749.279999999999</v>
      </c>
      <c r="E90" s="134"/>
    </row>
    <row r="91" spans="1:5" ht="13" thickBot="1">
      <c r="A91" s="544" t="s">
        <v>286</v>
      </c>
      <c r="B91" s="545">
        <f>'CÀLCUL QUOTES set25'!P32</f>
        <v>0</v>
      </c>
      <c r="C91" s="545">
        <f>'CÀLCUL QUOTES set25'!Q32</f>
        <v>0</v>
      </c>
      <c r="D91" s="551">
        <f t="shared" si="8"/>
        <v>0</v>
      </c>
      <c r="E91" s="134"/>
    </row>
    <row r="92" spans="1:5" ht="23.5" thickBot="1">
      <c r="A92" s="547" t="s">
        <v>288</v>
      </c>
      <c r="B92" s="545">
        <f>'CÀLCUL QUOTES set25'!P33</f>
        <v>-4986.3999999999996</v>
      </c>
      <c r="C92" s="545">
        <f>'CÀLCUL QUOTES set25'!Q33</f>
        <v>-5989.58</v>
      </c>
      <c r="D92" s="551">
        <f t="shared" si="8"/>
        <v>-27456.820000000007</v>
      </c>
      <c r="E92" s="134"/>
    </row>
    <row r="93" spans="1:5" ht="13" thickBot="1">
      <c r="A93" s="548" t="s">
        <v>287</v>
      </c>
      <c r="B93" s="549">
        <f>SUM(B85:B92)</f>
        <v>-61875.479000000007</v>
      </c>
      <c r="C93" s="549">
        <f>SUM(C85:C92)</f>
        <v>-68525.025340000007</v>
      </c>
      <c r="D93" s="549">
        <f t="shared" si="8"/>
        <v>-478833.01983999996</v>
      </c>
      <c r="E93" s="134"/>
    </row>
  </sheetData>
  <mergeCells count="4">
    <mergeCell ref="D1:G1"/>
    <mergeCell ref="I2:K2"/>
    <mergeCell ref="G26:I26"/>
    <mergeCell ref="C45:E45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B8"/>
  <sheetViews>
    <sheetView zoomScale="90" zoomScaleNormal="90" workbookViewId="0">
      <selection activeCell="D8" sqref="D8"/>
    </sheetView>
  </sheetViews>
  <sheetFormatPr baseColWidth="10" defaultColWidth="11.54296875" defaultRowHeight="12.5"/>
  <cols>
    <col min="1" max="1" width="26.453125" style="202" customWidth="1"/>
    <col min="2" max="2" width="27.36328125" style="202" customWidth="1"/>
    <col min="3" max="3" width="13.54296875" style="202" customWidth="1"/>
    <col min="4" max="4" width="15.1796875" style="202" customWidth="1"/>
    <col min="5" max="5" width="21.54296875" style="202" customWidth="1"/>
    <col min="6" max="6" width="14.54296875" style="202" customWidth="1"/>
    <col min="7" max="7" width="13.81640625" style="202" customWidth="1"/>
    <col min="8" max="16384" width="11.54296875" style="202"/>
  </cols>
  <sheetData>
    <row r="1" spans="1:2" ht="13" thickBot="1"/>
    <row r="2" spans="1:2" ht="28.5" thickBot="1">
      <c r="A2" s="575" t="s">
        <v>443</v>
      </c>
      <c r="B2" s="576" t="s">
        <v>14</v>
      </c>
    </row>
    <row r="3" spans="1:2" ht="28.5" thickBot="1">
      <c r="A3" s="552" t="s">
        <v>289</v>
      </c>
      <c r="B3" s="553">
        <f>'CÀLCUL QUOTES set25'!R19</f>
        <v>527689.18999999994</v>
      </c>
    </row>
    <row r="4" spans="1:2" ht="14.5" thickBot="1">
      <c r="A4" s="552" t="s">
        <v>290</v>
      </c>
      <c r="B4" s="553">
        <f>'CÀLCUL QUOTES set25'!R20</f>
        <v>46461.47</v>
      </c>
    </row>
    <row r="5" spans="1:2" ht="28.5" thickBot="1">
      <c r="A5" s="552" t="s">
        <v>291</v>
      </c>
      <c r="B5" s="553">
        <f>'CÀLCUL QUOTES set25'!R21</f>
        <v>34937.243000000002</v>
      </c>
    </row>
    <row r="6" spans="1:2" ht="28.5" thickBot="1">
      <c r="A6" s="552" t="s">
        <v>292</v>
      </c>
      <c r="B6" s="553">
        <f>'CÀLCUL QUOTES set25'!R22</f>
        <v>369482.32200000004</v>
      </c>
    </row>
    <row r="7" spans="1:2" ht="28.5" thickBot="1">
      <c r="A7" s="552" t="s">
        <v>293</v>
      </c>
      <c r="B7" s="553">
        <f>'CÀLCUL QUOTES set25'!R23</f>
        <v>62892.786000000007</v>
      </c>
    </row>
    <row r="8" spans="1:2" ht="14.5" thickBot="1">
      <c r="A8" s="554" t="s">
        <v>174</v>
      </c>
      <c r="B8" s="555">
        <f>SUM(B3:B7)</f>
        <v>1041463.0109999999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HA9"/>
  <sheetViews>
    <sheetView workbookViewId="0">
      <selection activeCell="R25" sqref="R25"/>
    </sheetView>
  </sheetViews>
  <sheetFormatPr baseColWidth="10" defaultColWidth="11.54296875" defaultRowHeight="12.5"/>
  <cols>
    <col min="1" max="1" width="17.54296875" style="202" customWidth="1"/>
    <col min="2" max="2" width="35.1796875" style="202" customWidth="1"/>
    <col min="3" max="3" width="16.453125" style="202" hidden="1" customWidth="1"/>
    <col min="4" max="4" width="15.453125" style="202" hidden="1" customWidth="1"/>
    <col min="5" max="5" width="13.81640625" style="202" hidden="1" customWidth="1"/>
    <col min="6" max="6" width="15" style="202" hidden="1" customWidth="1"/>
    <col min="7" max="7" width="15.1796875" style="202" hidden="1" customWidth="1"/>
    <col min="8" max="8" width="14.81640625" style="202" hidden="1" customWidth="1"/>
    <col min="9" max="10" width="14.54296875" style="202" hidden="1" customWidth="1"/>
    <col min="11" max="11" width="15" style="202" hidden="1" customWidth="1"/>
    <col min="12" max="12" width="13" style="202" hidden="1" customWidth="1"/>
    <col min="13" max="13" width="13.453125" style="202" hidden="1" customWidth="1"/>
    <col min="14" max="14" width="14.54296875" style="202" hidden="1" customWidth="1"/>
    <col min="15" max="15" width="13.54296875" style="202" hidden="1" customWidth="1"/>
    <col min="16" max="16" width="15.453125" style="202" hidden="1" customWidth="1"/>
    <col min="17" max="17" width="13.54296875" style="202" customWidth="1"/>
    <col min="18" max="18" width="15.1796875" style="202" customWidth="1"/>
    <col min="19" max="19" width="21.54296875" style="202" customWidth="1"/>
    <col min="20" max="20" width="14.54296875" style="202" customWidth="1"/>
    <col min="21" max="16384" width="11.54296875" style="202"/>
  </cols>
  <sheetData>
    <row r="1" spans="1:209" ht="12.75" customHeight="1">
      <c r="A1" s="366"/>
      <c r="B1" s="367"/>
      <c r="C1" s="368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59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4"/>
      <c r="AZ1" s="334"/>
      <c r="BA1" s="334"/>
      <c r="BB1" s="334"/>
      <c r="BC1" s="334"/>
      <c r="BD1" s="334"/>
      <c r="BE1" s="334"/>
      <c r="BF1" s="334"/>
      <c r="BG1" s="334"/>
      <c r="BH1" s="334"/>
      <c r="BI1" s="334"/>
      <c r="BJ1" s="334"/>
      <c r="BK1" s="334"/>
      <c r="BL1" s="334"/>
      <c r="BM1" s="334"/>
      <c r="BN1" s="334"/>
      <c r="BO1" s="334"/>
      <c r="BP1" s="334"/>
      <c r="BQ1" s="334"/>
      <c r="BR1" s="334"/>
      <c r="BS1" s="334"/>
      <c r="BT1" s="334"/>
      <c r="BU1" s="334"/>
      <c r="BV1" s="334"/>
      <c r="BW1" s="334"/>
      <c r="BX1" s="334"/>
      <c r="BY1" s="334"/>
      <c r="BZ1" s="334"/>
      <c r="CA1" s="334"/>
      <c r="CB1" s="334"/>
      <c r="CC1" s="334"/>
      <c r="CD1" s="334"/>
      <c r="CE1" s="334"/>
      <c r="CF1" s="334"/>
      <c r="CG1" s="334"/>
      <c r="CH1" s="334"/>
      <c r="CI1" s="334"/>
      <c r="CJ1" s="334"/>
      <c r="CK1" s="334"/>
      <c r="CL1" s="334"/>
      <c r="CM1" s="334"/>
      <c r="CN1" s="334"/>
      <c r="CO1" s="334"/>
      <c r="CP1" s="334"/>
      <c r="CQ1" s="334"/>
      <c r="CR1" s="334"/>
      <c r="CS1" s="334"/>
      <c r="CT1" s="334"/>
      <c r="CU1" s="334"/>
      <c r="CV1" s="334"/>
      <c r="CW1" s="334"/>
      <c r="CX1" s="334"/>
      <c r="CY1" s="334"/>
      <c r="CZ1" s="334"/>
      <c r="DA1" s="334"/>
      <c r="DB1" s="334"/>
      <c r="DC1" s="334"/>
      <c r="DD1" s="334"/>
      <c r="DE1" s="334"/>
      <c r="DF1" s="334"/>
      <c r="DG1" s="334"/>
      <c r="DH1" s="334"/>
      <c r="DI1" s="334"/>
      <c r="DJ1" s="334"/>
      <c r="DK1" s="334"/>
      <c r="DL1" s="334"/>
      <c r="DM1" s="334"/>
      <c r="DN1" s="334"/>
      <c r="DO1" s="334"/>
      <c r="DP1" s="334"/>
      <c r="DQ1" s="334"/>
      <c r="DR1" s="334"/>
      <c r="DS1" s="334"/>
      <c r="DT1" s="334"/>
      <c r="DU1" s="334"/>
      <c r="DV1" s="334"/>
      <c r="DW1" s="334"/>
      <c r="DX1" s="334"/>
      <c r="DY1" s="334"/>
      <c r="DZ1" s="334"/>
      <c r="EA1" s="334"/>
      <c r="EB1" s="334"/>
      <c r="EC1" s="334"/>
      <c r="ED1" s="334"/>
      <c r="EE1" s="334"/>
      <c r="EF1" s="334"/>
      <c r="EG1" s="334"/>
      <c r="EH1" s="334"/>
      <c r="EI1" s="334"/>
      <c r="EJ1" s="334"/>
      <c r="EK1" s="334"/>
      <c r="EL1" s="334"/>
      <c r="EM1" s="334"/>
      <c r="EN1" s="334"/>
      <c r="EO1" s="334"/>
      <c r="EP1" s="334"/>
      <c r="EQ1" s="334"/>
      <c r="ER1" s="334"/>
      <c r="ES1" s="334"/>
      <c r="ET1" s="334"/>
      <c r="EU1" s="334"/>
      <c r="EV1" s="334"/>
      <c r="EW1" s="334"/>
      <c r="EX1" s="334"/>
      <c r="EY1" s="334"/>
      <c r="EZ1" s="334"/>
      <c r="FA1" s="334"/>
      <c r="FB1" s="334"/>
      <c r="FC1" s="334"/>
      <c r="FD1" s="334"/>
      <c r="FE1" s="334"/>
      <c r="FF1" s="334"/>
      <c r="FG1" s="334"/>
      <c r="FH1" s="334"/>
      <c r="FI1" s="334"/>
      <c r="FJ1" s="334"/>
      <c r="FK1" s="334"/>
      <c r="FL1" s="334"/>
      <c r="FM1" s="334"/>
      <c r="FN1" s="334"/>
      <c r="FO1" s="334"/>
      <c r="FP1" s="334"/>
      <c r="FQ1" s="334"/>
      <c r="FR1" s="334"/>
      <c r="FS1" s="334"/>
      <c r="FT1" s="334"/>
      <c r="FU1" s="334"/>
      <c r="FV1" s="334"/>
      <c r="FW1" s="334"/>
      <c r="FX1" s="334"/>
      <c r="FY1" s="334"/>
      <c r="FZ1" s="334"/>
      <c r="GA1" s="334"/>
      <c r="GB1" s="334"/>
      <c r="GC1" s="334"/>
      <c r="GD1" s="334"/>
      <c r="GE1" s="334"/>
      <c r="GF1" s="334"/>
      <c r="GG1" s="334"/>
      <c r="GH1" s="334"/>
      <c r="GI1" s="334"/>
      <c r="GJ1" s="334"/>
      <c r="GK1" s="334"/>
      <c r="GL1" s="334"/>
      <c r="GM1" s="334"/>
      <c r="GN1" s="334"/>
      <c r="GO1" s="334"/>
      <c r="GP1" s="334"/>
      <c r="GQ1" s="334"/>
      <c r="GR1" s="334"/>
      <c r="GS1" s="334"/>
      <c r="GT1" s="334"/>
      <c r="GU1" s="334"/>
      <c r="GV1" s="334"/>
      <c r="GW1" s="334"/>
      <c r="GX1" s="334"/>
      <c r="GY1" s="334"/>
      <c r="GZ1" s="334"/>
      <c r="HA1" s="334"/>
    </row>
    <row r="3" spans="1:209" ht="20">
      <c r="A3" s="597" t="s">
        <v>444</v>
      </c>
      <c r="B3" s="598"/>
      <c r="C3" s="539" t="s">
        <v>32</v>
      </c>
      <c r="D3" s="539" t="s">
        <v>38</v>
      </c>
      <c r="E3" s="539" t="s">
        <v>37</v>
      </c>
      <c r="F3" s="539" t="s">
        <v>39</v>
      </c>
      <c r="G3" s="539" t="s">
        <v>40</v>
      </c>
      <c r="H3" s="539" t="s">
        <v>41</v>
      </c>
      <c r="I3" s="539" t="s">
        <v>42</v>
      </c>
      <c r="J3" s="539" t="s">
        <v>43</v>
      </c>
      <c r="K3" s="539" t="s">
        <v>44</v>
      </c>
      <c r="L3" s="539" t="s">
        <v>45</v>
      </c>
      <c r="M3" s="539" t="s">
        <v>46</v>
      </c>
      <c r="N3" s="539" t="s">
        <v>47</v>
      </c>
      <c r="O3" s="539" t="s">
        <v>48</v>
      </c>
      <c r="P3" s="539" t="s">
        <v>49</v>
      </c>
      <c r="Q3" s="556" t="s">
        <v>14</v>
      </c>
    </row>
    <row r="4" spans="1:209" ht="15.75" customHeight="1">
      <c r="A4" s="599" t="s">
        <v>294</v>
      </c>
      <c r="B4" s="557" t="s">
        <v>363</v>
      </c>
      <c r="C4" s="184" t="e">
        <f>'DESPESES SERVEIS'!C63</f>
        <v>#REF!</v>
      </c>
      <c r="D4" s="185" t="e">
        <f>'DESPESES SERVEIS'!D63</f>
        <v>#REF!</v>
      </c>
      <c r="E4" s="185" t="e">
        <f>'DESPESES SERVEIS'!E63</f>
        <v>#REF!</v>
      </c>
      <c r="F4" s="185" t="e">
        <f>'DESPESES SERVEIS'!F63</f>
        <v>#REF!</v>
      </c>
      <c r="G4" s="185" t="e">
        <f>'DESPESES SERVEIS'!G63</f>
        <v>#REF!</v>
      </c>
      <c r="H4" s="185" t="e">
        <f>'DESPESES SERVEIS'!H63</f>
        <v>#REF!</v>
      </c>
      <c r="I4" s="185" t="e">
        <f>'DESPESES SERVEIS'!I63</f>
        <v>#REF!</v>
      </c>
      <c r="J4" s="185" t="e">
        <f>'DESPESES SERVEIS'!J63</f>
        <v>#REF!</v>
      </c>
      <c r="K4" s="185" t="e">
        <f>'DESPESES SERVEIS'!#REF!</f>
        <v>#REF!</v>
      </c>
      <c r="L4" s="185" t="e">
        <f>'DESPESES SERVEIS'!K63</f>
        <v>#REF!</v>
      </c>
      <c r="M4" s="185" t="e">
        <f>'DESPESES SERVEIS'!L63</f>
        <v>#REF!</v>
      </c>
      <c r="N4" s="185" t="e">
        <f>'DESPESES SERVEIS'!M63</f>
        <v>#REF!</v>
      </c>
      <c r="O4" s="185" t="e">
        <f>'DESPESES SERVEIS'!N63</f>
        <v>#REF!</v>
      </c>
      <c r="P4" s="185" t="e">
        <f>'DESPESES SERVEIS'!O63</f>
        <v>#REF!</v>
      </c>
      <c r="Q4" s="541">
        <f>'DESPESES GLOBALS'!C11</f>
        <v>-3664465.3701006463</v>
      </c>
    </row>
    <row r="5" spans="1:209" ht="15.75" customHeight="1">
      <c r="A5" s="600"/>
      <c r="B5" s="209" t="s">
        <v>362</v>
      </c>
      <c r="C5" s="184" t="e">
        <f>'INGRESSOS SERVEIS'!#REF!</f>
        <v>#REF!</v>
      </c>
      <c r="D5" s="185" t="e">
        <f>'INGRESSOS SERVEIS'!#REF!</f>
        <v>#REF!</v>
      </c>
      <c r="E5" s="185" t="e">
        <f>'INGRESSOS SERVEIS'!#REF!</f>
        <v>#REF!</v>
      </c>
      <c r="F5" s="185" t="e">
        <f>'INGRESSOS SERVEIS'!#REF!</f>
        <v>#REF!</v>
      </c>
      <c r="G5" s="185" t="e">
        <f>'INGRESSOS SERVEIS'!#REF!</f>
        <v>#REF!</v>
      </c>
      <c r="H5" s="185" t="e">
        <f>'INGRESSOS SERVEIS'!#REF!</f>
        <v>#REF!</v>
      </c>
      <c r="I5" s="185" t="e">
        <f>'INGRESSOS SERVEIS'!#REF!</f>
        <v>#REF!</v>
      </c>
      <c r="J5" s="185" t="e">
        <f>'INGRESSOS SERVEIS'!#REF!</f>
        <v>#REF!</v>
      </c>
      <c r="K5" s="185" t="e">
        <f>'INGRESSOS SERVEIS'!#REF!</f>
        <v>#REF!</v>
      </c>
      <c r="L5" s="185" t="e">
        <f>'INGRESSOS SERVEIS'!#REF!</f>
        <v>#REF!</v>
      </c>
      <c r="M5" s="185" t="e">
        <f>'INGRESSOS SERVEIS'!#REF!</f>
        <v>#REF!</v>
      </c>
      <c r="N5" s="185" t="e">
        <f>'INGRESSOS SERVEIS'!#REF!</f>
        <v>#REF!</v>
      </c>
      <c r="O5" s="185" t="e">
        <f>'INGRESSOS SERVEIS'!#REF!</f>
        <v>#REF!</v>
      </c>
      <c r="P5" s="185" t="e">
        <f>'INGRESSOS SERVEIS'!#REF!</f>
        <v>#REF!</v>
      </c>
      <c r="Q5" s="558">
        <f>'INGRESSOS SERVEIS'!B8</f>
        <v>1041463.0109999999</v>
      </c>
    </row>
    <row r="6" spans="1:209" ht="13">
      <c r="A6" s="601"/>
      <c r="B6" s="559" t="s">
        <v>296</v>
      </c>
      <c r="C6" s="170" t="e">
        <f>SUM(C4:C5)</f>
        <v>#REF!</v>
      </c>
      <c r="D6" s="170" t="e">
        <f t="shared" ref="D6:P6" si="0">SUM(D4:D5)</f>
        <v>#REF!</v>
      </c>
      <c r="E6" s="170" t="e">
        <f t="shared" si="0"/>
        <v>#REF!</v>
      </c>
      <c r="F6" s="170" t="e">
        <f t="shared" si="0"/>
        <v>#REF!</v>
      </c>
      <c r="G6" s="170" t="e">
        <f t="shared" si="0"/>
        <v>#REF!</v>
      </c>
      <c r="H6" s="170" t="e">
        <f t="shared" si="0"/>
        <v>#REF!</v>
      </c>
      <c r="I6" s="170" t="e">
        <f t="shared" si="0"/>
        <v>#REF!</v>
      </c>
      <c r="J6" s="170" t="e">
        <f t="shared" si="0"/>
        <v>#REF!</v>
      </c>
      <c r="K6" s="170" t="e">
        <f t="shared" si="0"/>
        <v>#REF!</v>
      </c>
      <c r="L6" s="170" t="e">
        <f t="shared" si="0"/>
        <v>#REF!</v>
      </c>
      <c r="M6" s="170" t="e">
        <f t="shared" si="0"/>
        <v>#REF!</v>
      </c>
      <c r="N6" s="170" t="e">
        <f t="shared" si="0"/>
        <v>#REF!</v>
      </c>
      <c r="O6" s="170" t="e">
        <f t="shared" si="0"/>
        <v>#REF!</v>
      </c>
      <c r="P6" s="170" t="e">
        <f t="shared" si="0"/>
        <v>#REF!</v>
      </c>
      <c r="Q6" s="560">
        <f>Q4+Q5</f>
        <v>-2623002.3591006463</v>
      </c>
    </row>
    <row r="7" spans="1:209" ht="17.25" customHeight="1">
      <c r="A7" s="602" t="s">
        <v>295</v>
      </c>
      <c r="B7" s="561" t="s">
        <v>297</v>
      </c>
      <c r="C7" s="184">
        <f>'DESPESES SERVEIS'!C71</f>
        <v>0</v>
      </c>
      <c r="D7" s="185">
        <f>'DESPESES SERVEIS'!D71</f>
        <v>0</v>
      </c>
      <c r="E7" s="185">
        <f>'DESPESES SERVEIS'!E71</f>
        <v>0</v>
      </c>
      <c r="F7" s="562">
        <f>'DESPESES SERVEIS'!F71</f>
        <v>0</v>
      </c>
      <c r="G7" s="185">
        <f>'DESPESES SERVEIS'!G71</f>
        <v>0</v>
      </c>
      <c r="H7" s="185">
        <f>'DESPESES SERVEIS'!H71</f>
        <v>0</v>
      </c>
      <c r="I7" s="185">
        <f>'DESPESES SERVEIS'!I71</f>
        <v>0</v>
      </c>
      <c r="J7" s="185">
        <f>'DESPESES SERVEIS'!J71</f>
        <v>0</v>
      </c>
      <c r="K7" s="185" t="e">
        <f>'DESPESES SERVEIS'!#REF!</f>
        <v>#REF!</v>
      </c>
      <c r="L7" s="185">
        <f>'DESPESES SERVEIS'!K71</f>
        <v>0</v>
      </c>
      <c r="M7" s="185">
        <f>'DESPESES SERVEIS'!L71</f>
        <v>0</v>
      </c>
      <c r="N7" s="185">
        <f>'DESPESES SERVEIS'!M71</f>
        <v>0</v>
      </c>
      <c r="O7" s="185">
        <f>'DESPESES SERVEIS'!N71</f>
        <v>0</v>
      </c>
      <c r="P7" s="185">
        <f>'DESPESES SERVEIS'!O71</f>
        <v>0</v>
      </c>
      <c r="Q7" s="558">
        <f>'DESPESES ESPECÍFIQUES'!D93</f>
        <v>-478833.01983999996</v>
      </c>
    </row>
    <row r="8" spans="1:209" ht="17.25" customHeight="1">
      <c r="A8" s="603"/>
      <c r="B8" s="563" t="s">
        <v>287</v>
      </c>
      <c r="C8" s="180">
        <f t="shared" ref="C8:P8" si="1">SUM(C7:C7)</f>
        <v>0</v>
      </c>
      <c r="D8" s="180">
        <f t="shared" si="1"/>
        <v>0</v>
      </c>
      <c r="E8" s="180">
        <f t="shared" si="1"/>
        <v>0</v>
      </c>
      <c r="F8" s="180">
        <f t="shared" si="1"/>
        <v>0</v>
      </c>
      <c r="G8" s="180">
        <f t="shared" si="1"/>
        <v>0</v>
      </c>
      <c r="H8" s="180">
        <f t="shared" si="1"/>
        <v>0</v>
      </c>
      <c r="I8" s="180">
        <f t="shared" si="1"/>
        <v>0</v>
      </c>
      <c r="J8" s="180">
        <f t="shared" si="1"/>
        <v>0</v>
      </c>
      <c r="K8" s="180" t="e">
        <f t="shared" si="1"/>
        <v>#REF!</v>
      </c>
      <c r="L8" s="180">
        <f t="shared" si="1"/>
        <v>0</v>
      </c>
      <c r="M8" s="180">
        <f t="shared" si="1"/>
        <v>0</v>
      </c>
      <c r="N8" s="180">
        <f t="shared" si="1"/>
        <v>0</v>
      </c>
      <c r="O8" s="180">
        <f t="shared" si="1"/>
        <v>0</v>
      </c>
      <c r="P8" s="180">
        <f t="shared" si="1"/>
        <v>0</v>
      </c>
      <c r="Q8" s="564">
        <f>Q7</f>
        <v>-478833.01983999996</v>
      </c>
    </row>
    <row r="9" spans="1:209" ht="15.75" customHeight="1">
      <c r="A9" s="565"/>
      <c r="B9" s="566" t="s">
        <v>298</v>
      </c>
      <c r="C9" s="183" t="e">
        <f t="shared" ref="C9:P9" si="2">C6+C8</f>
        <v>#REF!</v>
      </c>
      <c r="D9" s="183" t="e">
        <f t="shared" si="2"/>
        <v>#REF!</v>
      </c>
      <c r="E9" s="183" t="e">
        <f t="shared" si="2"/>
        <v>#REF!</v>
      </c>
      <c r="F9" s="183" t="e">
        <f t="shared" si="2"/>
        <v>#REF!</v>
      </c>
      <c r="G9" s="183" t="e">
        <f t="shared" si="2"/>
        <v>#REF!</v>
      </c>
      <c r="H9" s="183" t="e">
        <f t="shared" si="2"/>
        <v>#REF!</v>
      </c>
      <c r="I9" s="183" t="e">
        <f t="shared" si="2"/>
        <v>#REF!</v>
      </c>
      <c r="J9" s="183" t="e">
        <f t="shared" si="2"/>
        <v>#REF!</v>
      </c>
      <c r="K9" s="183" t="e">
        <f t="shared" si="2"/>
        <v>#REF!</v>
      </c>
      <c r="L9" s="183" t="e">
        <f t="shared" si="2"/>
        <v>#REF!</v>
      </c>
      <c r="M9" s="183" t="e">
        <f t="shared" si="2"/>
        <v>#REF!</v>
      </c>
      <c r="N9" s="183" t="e">
        <f t="shared" si="2"/>
        <v>#REF!</v>
      </c>
      <c r="O9" s="183" t="e">
        <f t="shared" si="2"/>
        <v>#REF!</v>
      </c>
      <c r="P9" s="567" t="e">
        <f t="shared" si="2"/>
        <v>#REF!</v>
      </c>
      <c r="Q9" s="568">
        <f>Q6+Q8</f>
        <v>-3101835.3789406465</v>
      </c>
    </row>
  </sheetData>
  <mergeCells count="3">
    <mergeCell ref="A3:B3"/>
    <mergeCell ref="A4:A6"/>
    <mergeCell ref="A7:A8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S69"/>
  <sheetViews>
    <sheetView workbookViewId="0">
      <selection activeCell="A35" sqref="A35"/>
    </sheetView>
  </sheetViews>
  <sheetFormatPr baseColWidth="10" defaultColWidth="11.54296875" defaultRowHeight="12.5"/>
  <cols>
    <col min="1" max="1" width="42.54296875" style="134" bestFit="1" customWidth="1"/>
    <col min="2" max="2" width="7.1796875" style="134" customWidth="1"/>
    <col min="3" max="3" width="20.54296875" style="134" customWidth="1"/>
    <col min="4" max="4" width="15.453125" style="134" customWidth="1"/>
    <col min="5" max="5" width="13.81640625" style="134" customWidth="1"/>
    <col min="6" max="6" width="15" style="134" customWidth="1"/>
    <col min="7" max="7" width="15.1796875" style="134" customWidth="1"/>
    <col min="8" max="8" width="14.81640625" style="134" customWidth="1"/>
    <col min="9" max="9" width="14.54296875" style="134" bestFit="1" customWidth="1"/>
    <col min="10" max="10" width="14.54296875" style="134" customWidth="1"/>
    <col min="11" max="11" width="15" style="134" customWidth="1"/>
    <col min="12" max="13" width="13" style="134" customWidth="1"/>
    <col min="14" max="14" width="13.453125" style="134" customWidth="1"/>
    <col min="15" max="15" width="14.54296875" style="134" customWidth="1"/>
    <col min="16" max="16" width="19.81640625" style="134" customWidth="1"/>
    <col min="17" max="17" width="15.453125" style="134" customWidth="1"/>
    <col min="18" max="18" width="17" style="134" customWidth="1"/>
    <col min="19" max="19" width="15.1796875" style="134" customWidth="1"/>
    <col min="20" max="20" width="21.54296875" style="134" customWidth="1"/>
    <col min="21" max="21" width="14.54296875" style="134" customWidth="1"/>
    <col min="22" max="22" width="13.81640625" style="134" customWidth="1"/>
    <col min="23" max="23" width="13.1796875" style="134" customWidth="1"/>
    <col min="24" max="24" width="13.453125" style="134" customWidth="1"/>
    <col min="25" max="25" width="13" style="134" bestFit="1" customWidth="1"/>
    <col min="26" max="16384" width="11.54296875" style="134"/>
  </cols>
  <sheetData>
    <row r="1" spans="1:19" ht="12.75" customHeight="1" thickBot="1">
      <c r="A1" s="328"/>
      <c r="B1" s="86"/>
      <c r="C1" s="89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136"/>
    </row>
    <row r="2" spans="1:19" ht="12.75" customHeight="1" thickBot="1">
      <c r="A2" s="604" t="s">
        <v>166</v>
      </c>
      <c r="B2" s="605"/>
      <c r="C2" s="605"/>
      <c r="D2" s="106" t="s">
        <v>365</v>
      </c>
      <c r="E2" s="106" t="s">
        <v>366</v>
      </c>
      <c r="G2" s="104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36"/>
    </row>
    <row r="3" spans="1:19" ht="12.75" customHeight="1" thickBot="1">
      <c r="A3" s="606" t="s">
        <v>130</v>
      </c>
      <c r="B3" s="607"/>
      <c r="C3" s="607"/>
      <c r="D3" s="107">
        <v>167</v>
      </c>
      <c r="E3" s="107">
        <v>120</v>
      </c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36"/>
    </row>
    <row r="4" spans="1:19" ht="12.75" customHeight="1" thickBot="1">
      <c r="A4" s="105"/>
      <c r="B4" s="105"/>
      <c r="C4" s="105"/>
      <c r="D4" s="87" t="s">
        <v>32</v>
      </c>
      <c r="E4" s="87" t="s">
        <v>38</v>
      </c>
      <c r="F4" s="87" t="s">
        <v>37</v>
      </c>
      <c r="G4" s="87" t="s">
        <v>39</v>
      </c>
      <c r="H4" s="87" t="s">
        <v>40</v>
      </c>
      <c r="I4" s="87" t="s">
        <v>41</v>
      </c>
      <c r="J4" s="87" t="s">
        <v>42</v>
      </c>
      <c r="K4" s="87" t="s">
        <v>43</v>
      </c>
      <c r="L4" s="87" t="s">
        <v>45</v>
      </c>
      <c r="M4" s="87" t="s">
        <v>411</v>
      </c>
      <c r="N4" s="87" t="s">
        <v>46</v>
      </c>
      <c r="O4" s="87" t="s">
        <v>47</v>
      </c>
      <c r="P4" s="87" t="s">
        <v>48</v>
      </c>
      <c r="Q4" s="87" t="s">
        <v>49</v>
      </c>
      <c r="R4" s="87" t="s">
        <v>14</v>
      </c>
      <c r="S4" s="136"/>
    </row>
    <row r="5" spans="1:19" ht="12.75" customHeight="1">
      <c r="A5" s="108" t="s">
        <v>167</v>
      </c>
      <c r="B5" s="109"/>
      <c r="C5" s="109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1"/>
      <c r="S5" s="136"/>
    </row>
    <row r="6" spans="1:19" ht="12.75" customHeight="1" thickBot="1">
      <c r="A6" s="115" t="s">
        <v>129</v>
      </c>
      <c r="B6" s="116"/>
      <c r="C6" s="190"/>
      <c r="D6" s="190">
        <f>-'CÀLCUL QUOTES set25'!D51</f>
        <v>15.629298561151078</v>
      </c>
      <c r="E6" s="190">
        <f>-'CÀLCUL QUOTES set25'!E51</f>
        <v>46.350516935483874</v>
      </c>
      <c r="F6" s="190">
        <f>-'CÀLCUL QUOTES set25'!F51</f>
        <v>26.302428479381444</v>
      </c>
      <c r="G6" s="190">
        <f>-'CÀLCUL QUOTES set25'!G51</f>
        <v>48.842461330049254</v>
      </c>
      <c r="H6" s="190">
        <f>-'CÀLCUL QUOTES set25'!H51</f>
        <v>37.202696175799083</v>
      </c>
      <c r="I6" s="190">
        <f>-'CÀLCUL QUOTES set25'!I51</f>
        <v>26.07416616257089</v>
      </c>
      <c r="J6" s="190">
        <f>-'CÀLCUL QUOTES set25'!J51</f>
        <v>24.957466908914729</v>
      </c>
      <c r="K6" s="190">
        <f>-'CÀLCUL QUOTES set25'!K51</f>
        <v>29.048382840236687</v>
      </c>
      <c r="L6" s="190">
        <f>-'CÀLCUL QUOTES set25'!L51</f>
        <v>19.650579120879122</v>
      </c>
      <c r="M6" s="190">
        <f>-'CÀLCUL QUOTES set25'!M51</f>
        <v>30.693143209876546</v>
      </c>
      <c r="N6" s="190">
        <f>-'CÀLCUL QUOTES set25'!N51</f>
        <v>42.413293311475407</v>
      </c>
      <c r="O6" s="190">
        <f>-'CÀLCUL QUOTES set25'!O51</f>
        <v>23.683719264069268</v>
      </c>
      <c r="P6" s="190">
        <f>-'CÀLCUL QUOTES set25'!P51</f>
        <v>36.908180456140357</v>
      </c>
      <c r="Q6" s="190">
        <f>-'CÀLCUL QUOTES set25'!Q51</f>
        <v>26.131122269627635</v>
      </c>
      <c r="R6" s="207">
        <f>-'CÀLCUL QUOTES set25'!R51</f>
        <v>31.877198219298243</v>
      </c>
      <c r="S6" s="136"/>
    </row>
    <row r="7" spans="1:19" ht="12.75" customHeight="1" thickBot="1">
      <c r="A7" s="608"/>
      <c r="B7" s="608"/>
      <c r="C7" s="608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136"/>
    </row>
    <row r="8" spans="1:19" ht="12.75" customHeight="1" thickBot="1">
      <c r="A8" s="117" t="s">
        <v>435</v>
      </c>
      <c r="B8" s="118"/>
      <c r="C8" s="118"/>
      <c r="D8" s="119">
        <f>$D$3+D6</f>
        <v>182.62929856115107</v>
      </c>
      <c r="E8" s="119">
        <f t="shared" ref="E8:Q8" si="0">$D$3+E6</f>
        <v>213.35051693548388</v>
      </c>
      <c r="F8" s="119">
        <f t="shared" si="0"/>
        <v>193.30242847938143</v>
      </c>
      <c r="G8" s="119">
        <f t="shared" si="0"/>
        <v>215.84246133004925</v>
      </c>
      <c r="H8" s="119">
        <f t="shared" si="0"/>
        <v>204.20269617579908</v>
      </c>
      <c r="I8" s="119">
        <f t="shared" si="0"/>
        <v>193.07416616257089</v>
      </c>
      <c r="J8" s="119">
        <f t="shared" si="0"/>
        <v>191.95746690891474</v>
      </c>
      <c r="K8" s="119">
        <f>$D$3+K6</f>
        <v>196.04838284023668</v>
      </c>
      <c r="L8" s="119">
        <f t="shared" si="0"/>
        <v>186.65057912087912</v>
      </c>
      <c r="M8" s="119">
        <f t="shared" ref="M8" si="1">$D$3+M6</f>
        <v>197.69314320987655</v>
      </c>
      <c r="N8" s="119">
        <f t="shared" si="0"/>
        <v>209.4132933114754</v>
      </c>
      <c r="O8" s="119">
        <f t="shared" si="0"/>
        <v>190.68371926406928</v>
      </c>
      <c r="P8" s="119">
        <f t="shared" si="0"/>
        <v>203.90818045614037</v>
      </c>
      <c r="Q8" s="119">
        <f t="shared" si="0"/>
        <v>193.13112226962764</v>
      </c>
      <c r="R8" s="120">
        <f>$D$3+R6</f>
        <v>198.87719821929824</v>
      </c>
      <c r="S8" s="136"/>
    </row>
    <row r="9" spans="1:19" ht="12.75" customHeight="1" thickBot="1">
      <c r="A9" s="117" t="s">
        <v>436</v>
      </c>
      <c r="B9" s="118"/>
      <c r="C9" s="118"/>
      <c r="D9" s="119">
        <f>$E$3+D6</f>
        <v>135.62929856115107</v>
      </c>
      <c r="E9" s="119">
        <f t="shared" ref="E9:R9" si="2">$E$3+E6</f>
        <v>166.35051693548388</v>
      </c>
      <c r="F9" s="119">
        <f t="shared" si="2"/>
        <v>146.30242847938143</v>
      </c>
      <c r="G9" s="119">
        <f t="shared" si="2"/>
        <v>168.84246133004925</v>
      </c>
      <c r="H9" s="119">
        <f t="shared" si="2"/>
        <v>157.20269617579908</v>
      </c>
      <c r="I9" s="119">
        <f t="shared" si="2"/>
        <v>146.07416616257089</v>
      </c>
      <c r="J9" s="119">
        <f t="shared" si="2"/>
        <v>144.95746690891474</v>
      </c>
      <c r="K9" s="119">
        <f t="shared" si="2"/>
        <v>149.04838284023668</v>
      </c>
      <c r="L9" s="119">
        <f t="shared" si="2"/>
        <v>139.65057912087912</v>
      </c>
      <c r="M9" s="119">
        <f t="shared" ref="M9" si="3">$E$3+M6</f>
        <v>150.69314320987655</v>
      </c>
      <c r="N9" s="119">
        <f t="shared" si="2"/>
        <v>162.4132933114754</v>
      </c>
      <c r="O9" s="119">
        <f t="shared" si="2"/>
        <v>143.68371926406928</v>
      </c>
      <c r="P9" s="119">
        <f t="shared" si="2"/>
        <v>156.90818045614037</v>
      </c>
      <c r="Q9" s="119">
        <f t="shared" si="2"/>
        <v>146.13112226962764</v>
      </c>
      <c r="R9" s="119">
        <f t="shared" si="2"/>
        <v>151.87719821929824</v>
      </c>
      <c r="S9" s="136"/>
    </row>
    <row r="10" spans="1:19" ht="12.75" customHeight="1" thickBot="1">
      <c r="A10" s="328"/>
      <c r="B10" s="328"/>
      <c r="C10" s="328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136"/>
    </row>
    <row r="11" spans="1:19" ht="12.75" customHeight="1" thickBot="1">
      <c r="A11" s="117" t="s">
        <v>430</v>
      </c>
      <c r="B11" s="118"/>
      <c r="C11" s="118"/>
      <c r="D11" s="119">
        <v>182.62944838129496</v>
      </c>
      <c r="E11" s="119">
        <v>213.57400927419354</v>
      </c>
      <c r="F11" s="119">
        <v>181.16111172680411</v>
      </c>
      <c r="G11" s="119">
        <v>202.05994162561575</v>
      </c>
      <c r="H11" s="119">
        <v>214.65424343751414</v>
      </c>
      <c r="I11" s="119">
        <v>187.01677978808985</v>
      </c>
      <c r="J11" s="119">
        <v>191.95761516472868</v>
      </c>
      <c r="K11" s="119">
        <v>192.14915118343194</v>
      </c>
      <c r="L11" s="119">
        <v>185.99368867040619</v>
      </c>
      <c r="M11" s="119"/>
      <c r="N11" s="119">
        <v>198.07090737000343</v>
      </c>
      <c r="O11" s="119">
        <v>184.62590173160174</v>
      </c>
      <c r="P11" s="119">
        <v>203.9054618730475</v>
      </c>
      <c r="Q11" s="119">
        <v>188.27223159012249</v>
      </c>
      <c r="R11" s="120">
        <v>195.42584041191884</v>
      </c>
      <c r="S11" s="136"/>
    </row>
    <row r="12" spans="1:19" ht="12.75" customHeight="1" thickBot="1">
      <c r="A12" s="117" t="s">
        <v>431</v>
      </c>
      <c r="B12" s="118"/>
      <c r="C12" s="118"/>
      <c r="D12" s="119">
        <v>135.62944838129496</v>
      </c>
      <c r="E12" s="119">
        <v>166.57400927419354</v>
      </c>
      <c r="F12" s="119">
        <v>134.16111172680411</v>
      </c>
      <c r="G12" s="119">
        <v>155.05994162561575</v>
      </c>
      <c r="H12" s="119">
        <v>167.65424343751414</v>
      </c>
      <c r="I12" s="119">
        <v>140.01677978808985</v>
      </c>
      <c r="J12" s="119">
        <v>144.95761516472868</v>
      </c>
      <c r="K12" s="119">
        <v>145.14915118343194</v>
      </c>
      <c r="L12" s="119">
        <v>138.99368867040619</v>
      </c>
      <c r="M12" s="119"/>
      <c r="N12" s="119">
        <v>151.07090737000343</v>
      </c>
      <c r="O12" s="119">
        <v>137.62590173160174</v>
      </c>
      <c r="P12" s="119">
        <v>156.9054618730475</v>
      </c>
      <c r="Q12" s="119">
        <v>141.27223159012249</v>
      </c>
      <c r="R12" s="119">
        <v>148.42584041191884</v>
      </c>
      <c r="S12" s="136"/>
    </row>
    <row r="13" spans="1:19" ht="12.75" customHeight="1">
      <c r="A13" s="131" t="s">
        <v>432</v>
      </c>
      <c r="B13" s="519"/>
      <c r="C13" s="519"/>
      <c r="D13" s="87">
        <f>D8-D11</f>
        <v>-1.4982014388920106E-4</v>
      </c>
      <c r="E13" s="87">
        <f t="shared" ref="E13:R13" si="4">E8-E11</f>
        <v>-0.22349233870966145</v>
      </c>
      <c r="F13" s="87">
        <f t="shared" si="4"/>
        <v>12.141316752577325</v>
      </c>
      <c r="G13" s="87">
        <f t="shared" si="4"/>
        <v>13.782519704433497</v>
      </c>
      <c r="H13" s="87">
        <f t="shared" si="4"/>
        <v>-10.451547261715064</v>
      </c>
      <c r="I13" s="87">
        <f t="shared" si="4"/>
        <v>6.057386374481041</v>
      </c>
      <c r="J13" s="87">
        <f t="shared" si="4"/>
        <v>-1.4825581394006804E-4</v>
      </c>
      <c r="K13" s="87">
        <f t="shared" si="4"/>
        <v>3.8992316568047443</v>
      </c>
      <c r="L13" s="87">
        <f t="shared" si="4"/>
        <v>0.65689045047292893</v>
      </c>
      <c r="M13" s="87">
        <f t="shared" si="4"/>
        <v>197.69314320987655</v>
      </c>
      <c r="N13" s="87">
        <f t="shared" si="4"/>
        <v>11.342385941471974</v>
      </c>
      <c r="O13" s="87">
        <f t="shared" si="4"/>
        <v>6.0578175324675385</v>
      </c>
      <c r="P13" s="87">
        <f t="shared" si="4"/>
        <v>2.7185830928715404E-3</v>
      </c>
      <c r="Q13" s="87">
        <f t="shared" si="4"/>
        <v>4.8588906795051514</v>
      </c>
      <c r="R13" s="87">
        <f t="shared" si="4"/>
        <v>3.4513578073793951</v>
      </c>
      <c r="S13" s="136"/>
    </row>
    <row r="14" spans="1:19" ht="12.75" customHeight="1">
      <c r="A14" s="519"/>
      <c r="B14" s="519"/>
      <c r="C14" s="519"/>
      <c r="D14" s="87">
        <f>D9-D12</f>
        <v>-1.4982014388920106E-4</v>
      </c>
      <c r="E14" s="87">
        <f t="shared" ref="E14:R14" si="5">E9-E12</f>
        <v>-0.22349233870966145</v>
      </c>
      <c r="F14" s="87">
        <f t="shared" si="5"/>
        <v>12.141316752577325</v>
      </c>
      <c r="G14" s="87">
        <f t="shared" si="5"/>
        <v>13.782519704433497</v>
      </c>
      <c r="H14" s="87">
        <f t="shared" si="5"/>
        <v>-10.451547261715064</v>
      </c>
      <c r="I14" s="87">
        <f t="shared" si="5"/>
        <v>6.057386374481041</v>
      </c>
      <c r="J14" s="87">
        <f t="shared" si="5"/>
        <v>-1.4825581394006804E-4</v>
      </c>
      <c r="K14" s="87">
        <f t="shared" si="5"/>
        <v>3.8992316568047443</v>
      </c>
      <c r="L14" s="87">
        <f t="shared" si="5"/>
        <v>0.65689045047292893</v>
      </c>
      <c r="M14" s="87">
        <f t="shared" si="5"/>
        <v>150.69314320987655</v>
      </c>
      <c r="N14" s="87">
        <f t="shared" si="5"/>
        <v>11.342385941471974</v>
      </c>
      <c r="O14" s="87">
        <f t="shared" si="5"/>
        <v>6.0578175324675385</v>
      </c>
      <c r="P14" s="87">
        <f t="shared" si="5"/>
        <v>2.7185830928715404E-3</v>
      </c>
      <c r="Q14" s="87">
        <f t="shared" si="5"/>
        <v>4.8588906795051514</v>
      </c>
      <c r="R14" s="87">
        <f t="shared" si="5"/>
        <v>3.4513578073793951</v>
      </c>
      <c r="S14" s="136"/>
    </row>
    <row r="15" spans="1:19" ht="12.75" customHeight="1">
      <c r="A15" s="521"/>
      <c r="B15" s="521"/>
      <c r="C15" s="521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136"/>
    </row>
    <row r="16" spans="1:19" ht="12.75" customHeight="1">
      <c r="A16" s="131" t="s">
        <v>146</v>
      </c>
      <c r="B16" s="328"/>
      <c r="C16" s="328"/>
      <c r="D16" s="87" t="s">
        <v>32</v>
      </c>
      <c r="E16" s="87" t="s">
        <v>38</v>
      </c>
      <c r="F16" s="87" t="s">
        <v>37</v>
      </c>
      <c r="G16" s="87" t="s">
        <v>39</v>
      </c>
      <c r="H16" s="87" t="s">
        <v>40</v>
      </c>
      <c r="I16" s="87" t="s">
        <v>41</v>
      </c>
      <c r="J16" s="87" t="s">
        <v>42</v>
      </c>
      <c r="K16" s="87" t="s">
        <v>43</v>
      </c>
      <c r="L16" s="87" t="s">
        <v>45</v>
      </c>
      <c r="M16" s="87" t="s">
        <v>411</v>
      </c>
      <c r="N16" s="87" t="s">
        <v>46</v>
      </c>
      <c r="O16" s="87" t="s">
        <v>47</v>
      </c>
      <c r="P16" s="87" t="s">
        <v>48</v>
      </c>
      <c r="Q16" s="87" t="s">
        <v>49</v>
      </c>
      <c r="R16" s="87" t="s">
        <v>14</v>
      </c>
      <c r="S16" s="136"/>
    </row>
    <row r="17" spans="1:19">
      <c r="A17" s="446" t="s">
        <v>147</v>
      </c>
      <c r="C17" s="127"/>
      <c r="D17" s="135">
        <f>D18+D19</f>
        <v>284</v>
      </c>
      <c r="E17" s="135">
        <f t="shared" ref="E17:L17" si="6">E18+E19</f>
        <v>2130</v>
      </c>
      <c r="F17" s="135">
        <f t="shared" si="6"/>
        <v>789</v>
      </c>
      <c r="G17" s="135">
        <f t="shared" si="6"/>
        <v>200</v>
      </c>
      <c r="H17" s="135">
        <f t="shared" si="6"/>
        <v>432</v>
      </c>
      <c r="I17" s="135">
        <f t="shared" si="6"/>
        <v>527</v>
      </c>
      <c r="J17" s="135">
        <f t="shared" si="6"/>
        <v>1052</v>
      </c>
      <c r="K17" s="135">
        <f t="shared" si="6"/>
        <v>153</v>
      </c>
      <c r="L17" s="135">
        <f t="shared" si="6"/>
        <v>1579</v>
      </c>
      <c r="M17" s="135">
        <v>81</v>
      </c>
      <c r="N17" s="135">
        <f t="shared" ref="N17:Q17" si="7">N18+N19</f>
        <v>1563</v>
      </c>
      <c r="O17" s="135">
        <f t="shared" si="7"/>
        <v>230</v>
      </c>
      <c r="P17" s="135">
        <f t="shared" si="7"/>
        <v>1410</v>
      </c>
      <c r="Q17" s="135">
        <f t="shared" si="7"/>
        <v>2220</v>
      </c>
      <c r="R17" s="135">
        <f>SUM(D17:Q17)</f>
        <v>12650</v>
      </c>
      <c r="S17" s="135"/>
    </row>
    <row r="18" spans="1:19">
      <c r="A18" s="446" t="s">
        <v>225</v>
      </c>
      <c r="C18" s="135"/>
      <c r="D18" s="135">
        <v>220</v>
      </c>
      <c r="E18" s="135">
        <v>1973</v>
      </c>
      <c r="F18" s="135">
        <v>718</v>
      </c>
      <c r="G18" s="135">
        <v>150</v>
      </c>
      <c r="H18" s="135">
        <v>404</v>
      </c>
      <c r="I18" s="135">
        <v>508</v>
      </c>
      <c r="J18" s="135">
        <v>955</v>
      </c>
      <c r="K18" s="135">
        <v>153</v>
      </c>
      <c r="L18" s="135">
        <v>1483</v>
      </c>
      <c r="M18" s="135">
        <v>81</v>
      </c>
      <c r="N18" s="135">
        <v>1294</v>
      </c>
      <c r="O18" s="135">
        <v>230</v>
      </c>
      <c r="P18" s="135">
        <v>1338</v>
      </c>
      <c r="Q18" s="135">
        <v>2194</v>
      </c>
      <c r="R18" s="135">
        <f>SUM(D18:Q18)</f>
        <v>11701</v>
      </c>
    </row>
    <row r="19" spans="1:19">
      <c r="A19" s="446" t="s">
        <v>224</v>
      </c>
      <c r="C19" s="135"/>
      <c r="D19" s="135">
        <v>64</v>
      </c>
      <c r="E19" s="135">
        <v>157</v>
      </c>
      <c r="F19" s="135">
        <v>71</v>
      </c>
      <c r="G19" s="135">
        <v>50</v>
      </c>
      <c r="H19" s="135">
        <v>28</v>
      </c>
      <c r="I19" s="135">
        <v>19</v>
      </c>
      <c r="J19" s="135">
        <v>97</v>
      </c>
      <c r="K19" s="135">
        <v>0</v>
      </c>
      <c r="L19" s="135">
        <v>96</v>
      </c>
      <c r="M19" s="135">
        <v>0</v>
      </c>
      <c r="N19" s="135">
        <v>269</v>
      </c>
      <c r="O19" s="135">
        <v>0</v>
      </c>
      <c r="P19" s="135">
        <v>72</v>
      </c>
      <c r="Q19" s="135">
        <v>26</v>
      </c>
      <c r="R19" s="135">
        <f>SUM(D19:Q19)</f>
        <v>949</v>
      </c>
      <c r="S19" s="310"/>
    </row>
    <row r="20" spans="1:19">
      <c r="A20" s="446" t="s">
        <v>369</v>
      </c>
      <c r="C20" s="135"/>
      <c r="D20" s="135">
        <f>0.02*D18</f>
        <v>4.4000000000000004</v>
      </c>
      <c r="E20" s="135">
        <f t="shared" ref="E20:L21" si="8">0.02*E18</f>
        <v>39.46</v>
      </c>
      <c r="F20" s="135">
        <f t="shared" si="8"/>
        <v>14.36</v>
      </c>
      <c r="G20" s="135">
        <f t="shared" si="8"/>
        <v>3</v>
      </c>
      <c r="H20" s="135">
        <f t="shared" si="8"/>
        <v>8.08</v>
      </c>
      <c r="I20" s="135">
        <f t="shared" si="8"/>
        <v>10.16</v>
      </c>
      <c r="J20" s="135">
        <f t="shared" si="8"/>
        <v>19.100000000000001</v>
      </c>
      <c r="K20" s="135">
        <f t="shared" si="8"/>
        <v>3.06</v>
      </c>
      <c r="L20" s="135">
        <f t="shared" si="8"/>
        <v>29.66</v>
      </c>
      <c r="M20" s="135">
        <f t="shared" ref="M20:Q21" si="9">0.02*M18</f>
        <v>1.62</v>
      </c>
      <c r="N20" s="135">
        <f t="shared" si="9"/>
        <v>25.88</v>
      </c>
      <c r="O20" s="135">
        <f t="shared" si="9"/>
        <v>4.6000000000000005</v>
      </c>
      <c r="P20" s="135">
        <f t="shared" si="9"/>
        <v>26.76</v>
      </c>
      <c r="Q20" s="135">
        <f t="shared" si="9"/>
        <v>43.88</v>
      </c>
      <c r="R20" s="135">
        <f t="shared" ref="R20:R21" si="10">0.02*R18</f>
        <v>234.02</v>
      </c>
    </row>
    <row r="21" spans="1:19">
      <c r="A21" s="446" t="s">
        <v>370</v>
      </c>
      <c r="C21" s="135"/>
      <c r="D21" s="135">
        <f>0.02*D19</f>
        <v>1.28</v>
      </c>
      <c r="E21" s="135">
        <f t="shared" si="8"/>
        <v>3.14</v>
      </c>
      <c r="F21" s="135">
        <f t="shared" si="8"/>
        <v>1.42</v>
      </c>
      <c r="G21" s="135">
        <f t="shared" si="8"/>
        <v>1</v>
      </c>
      <c r="H21" s="135">
        <f t="shared" si="8"/>
        <v>0.56000000000000005</v>
      </c>
      <c r="I21" s="135">
        <f t="shared" si="8"/>
        <v>0.38</v>
      </c>
      <c r="J21" s="135">
        <f t="shared" si="8"/>
        <v>1.94</v>
      </c>
      <c r="K21" s="135">
        <f t="shared" si="8"/>
        <v>0</v>
      </c>
      <c r="L21" s="135">
        <f t="shared" si="8"/>
        <v>1.92</v>
      </c>
      <c r="M21" s="135">
        <f t="shared" ref="M21" si="11">0.02*M19</f>
        <v>0</v>
      </c>
      <c r="N21" s="135">
        <f t="shared" si="9"/>
        <v>5.38</v>
      </c>
      <c r="O21" s="135">
        <f t="shared" si="9"/>
        <v>0</v>
      </c>
      <c r="P21" s="135">
        <f t="shared" si="9"/>
        <v>1.44</v>
      </c>
      <c r="Q21" s="135">
        <f t="shared" si="9"/>
        <v>0.52</v>
      </c>
      <c r="R21" s="135">
        <f t="shared" si="10"/>
        <v>18.98</v>
      </c>
    </row>
    <row r="22" spans="1:19" ht="13">
      <c r="A22" s="447" t="s">
        <v>365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</row>
    <row r="23" spans="1:19">
      <c r="A23" s="446" t="s">
        <v>367</v>
      </c>
      <c r="C23" s="135"/>
      <c r="D23" s="136">
        <f t="shared" ref="D23:R23" si="12">D8</f>
        <v>182.62929856115107</v>
      </c>
      <c r="E23" s="136">
        <f t="shared" si="12"/>
        <v>213.35051693548388</v>
      </c>
      <c r="F23" s="136">
        <f t="shared" si="12"/>
        <v>193.30242847938143</v>
      </c>
      <c r="G23" s="136">
        <f t="shared" si="12"/>
        <v>215.84246133004925</v>
      </c>
      <c r="H23" s="136">
        <f t="shared" si="12"/>
        <v>204.20269617579908</v>
      </c>
      <c r="I23" s="136">
        <f t="shared" si="12"/>
        <v>193.07416616257089</v>
      </c>
      <c r="J23" s="136">
        <f t="shared" si="12"/>
        <v>191.95746690891474</v>
      </c>
      <c r="K23" s="136">
        <f>K8</f>
        <v>196.04838284023668</v>
      </c>
      <c r="L23" s="136">
        <f t="shared" si="12"/>
        <v>186.65057912087912</v>
      </c>
      <c r="M23" s="136">
        <f t="shared" ref="M23" si="13">M8</f>
        <v>197.69314320987655</v>
      </c>
      <c r="N23" s="136">
        <f t="shared" si="12"/>
        <v>209.4132933114754</v>
      </c>
      <c r="O23" s="136">
        <f t="shared" si="12"/>
        <v>190.68371926406928</v>
      </c>
      <c r="P23" s="136">
        <f t="shared" si="12"/>
        <v>203.90818045614037</v>
      </c>
      <c r="Q23" s="136">
        <f t="shared" si="12"/>
        <v>193.13112226962764</v>
      </c>
      <c r="R23" s="136">
        <f t="shared" si="12"/>
        <v>198.87719821929824</v>
      </c>
    </row>
    <row r="24" spans="1:19">
      <c r="A24" s="446" t="s">
        <v>213</v>
      </c>
      <c r="C24" s="135"/>
      <c r="D24" s="136">
        <f>D23*0.3</f>
        <v>54.788789568345322</v>
      </c>
      <c r="E24" s="136">
        <f t="shared" ref="E24:R24" si="14">E23*0.3</f>
        <v>64.005155080645167</v>
      </c>
      <c r="F24" s="136">
        <f t="shared" si="14"/>
        <v>57.990728543814427</v>
      </c>
      <c r="G24" s="136">
        <f t="shared" si="14"/>
        <v>64.752738399014774</v>
      </c>
      <c r="H24" s="136">
        <f t="shared" si="14"/>
        <v>61.260808852739721</v>
      </c>
      <c r="I24" s="136">
        <f t="shared" si="14"/>
        <v>57.922249848771266</v>
      </c>
      <c r="J24" s="136">
        <f t="shared" si="14"/>
        <v>57.587240072674419</v>
      </c>
      <c r="K24" s="136">
        <f t="shared" si="14"/>
        <v>58.814514852070999</v>
      </c>
      <c r="L24" s="136">
        <f t="shared" si="14"/>
        <v>55.99517373626373</v>
      </c>
      <c r="M24" s="136">
        <f t="shared" ref="M24" si="15">M23*0.3</f>
        <v>59.307942962962962</v>
      </c>
      <c r="N24" s="136">
        <f t="shared" si="14"/>
        <v>62.823987993442614</v>
      </c>
      <c r="O24" s="136">
        <f t="shared" si="14"/>
        <v>57.205115779220783</v>
      </c>
      <c r="P24" s="136">
        <f t="shared" si="14"/>
        <v>61.172454136842106</v>
      </c>
      <c r="Q24" s="136">
        <f t="shared" si="14"/>
        <v>57.939336680888289</v>
      </c>
      <c r="R24" s="136">
        <f t="shared" si="14"/>
        <v>59.663159465789469</v>
      </c>
    </row>
    <row r="25" spans="1:19">
      <c r="A25" s="446" t="s">
        <v>371</v>
      </c>
      <c r="C25" s="135"/>
      <c r="D25" s="136">
        <f>D23*(D18-D20)+(D23-D24)*D20</f>
        <v>39937.375009352516</v>
      </c>
      <c r="E25" s="136">
        <f t="shared" ref="E25:Q25" si="16">E23*(E18-E20)+(E23-E24)*E20</f>
        <v>418414.92649422743</v>
      </c>
      <c r="F25" s="136">
        <f t="shared" si="16"/>
        <v>137958.39678630669</v>
      </c>
      <c r="G25" s="136">
        <f t="shared" si="16"/>
        <v>32182.110984310344</v>
      </c>
      <c r="H25" s="136">
        <f t="shared" si="16"/>
        <v>82002.901919492695</v>
      </c>
      <c r="I25" s="136">
        <f t="shared" si="16"/>
        <v>97493.186352122488</v>
      </c>
      <c r="J25" s="136">
        <f t="shared" si="16"/>
        <v>182219.46461262551</v>
      </c>
      <c r="K25" s="136">
        <f t="shared" si="16"/>
        <v>29815.430159108877</v>
      </c>
      <c r="L25" s="136">
        <f t="shared" si="16"/>
        <v>275141.99198324612</v>
      </c>
      <c r="M25" s="136">
        <f t="shared" ref="M25" si="17">M23*(M18-M20)+(M23-M24)*M20</f>
        <v>15917.065732399999</v>
      </c>
      <c r="N25" s="136">
        <f t="shared" si="16"/>
        <v>269354.91673577885</v>
      </c>
      <c r="O25" s="136">
        <f t="shared" si="16"/>
        <v>43594.111898151517</v>
      </c>
      <c r="P25" s="136">
        <f t="shared" si="16"/>
        <v>271192.17057761393</v>
      </c>
      <c r="Q25" s="136">
        <f t="shared" si="16"/>
        <v>421187.30416600569</v>
      </c>
      <c r="R25" s="136">
        <f>SUM(D25:Q25)</f>
        <v>2316411.3534107422</v>
      </c>
    </row>
    <row r="26" spans="1:19" ht="13">
      <c r="A26" s="447" t="s">
        <v>366</v>
      </c>
      <c r="C26" s="135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</row>
    <row r="27" spans="1:19">
      <c r="A27" s="446" t="s">
        <v>368</v>
      </c>
      <c r="C27" s="135"/>
      <c r="D27" s="136">
        <f>D9</f>
        <v>135.62929856115107</v>
      </c>
      <c r="E27" s="136">
        <f t="shared" ref="E27:R27" si="18">E9</f>
        <v>166.35051693548388</v>
      </c>
      <c r="F27" s="136">
        <f t="shared" si="18"/>
        <v>146.30242847938143</v>
      </c>
      <c r="G27" s="136">
        <f t="shared" si="18"/>
        <v>168.84246133004925</v>
      </c>
      <c r="H27" s="136">
        <f t="shared" si="18"/>
        <v>157.20269617579908</v>
      </c>
      <c r="I27" s="136">
        <f t="shared" si="18"/>
        <v>146.07416616257089</v>
      </c>
      <c r="J27" s="136">
        <f t="shared" si="18"/>
        <v>144.95746690891474</v>
      </c>
      <c r="K27" s="136">
        <f t="shared" si="18"/>
        <v>149.04838284023668</v>
      </c>
      <c r="L27" s="136">
        <f t="shared" si="18"/>
        <v>139.65057912087912</v>
      </c>
      <c r="M27" s="136">
        <f t="shared" ref="M27" si="19">M9</f>
        <v>150.69314320987655</v>
      </c>
      <c r="N27" s="136">
        <f t="shared" si="18"/>
        <v>162.4132933114754</v>
      </c>
      <c r="O27" s="136">
        <f t="shared" si="18"/>
        <v>143.68371926406928</v>
      </c>
      <c r="P27" s="136">
        <f t="shared" si="18"/>
        <v>156.90818045614037</v>
      </c>
      <c r="Q27" s="136">
        <f t="shared" si="18"/>
        <v>146.13112226962764</v>
      </c>
      <c r="R27" s="136">
        <f t="shared" si="18"/>
        <v>151.87719821929824</v>
      </c>
    </row>
    <row r="28" spans="1:19">
      <c r="A28" s="446" t="s">
        <v>213</v>
      </c>
      <c r="C28" s="135"/>
      <c r="D28" s="136">
        <f>D27*0.3</f>
        <v>40.688789568345321</v>
      </c>
      <c r="E28" s="136">
        <f t="shared" ref="E28:R28" si="20">E27*0.3</f>
        <v>49.905155080645166</v>
      </c>
      <c r="F28" s="136">
        <f t="shared" si="20"/>
        <v>43.890728543814426</v>
      </c>
      <c r="G28" s="136">
        <f t="shared" si="20"/>
        <v>50.652738399014773</v>
      </c>
      <c r="H28" s="136">
        <f t="shared" si="20"/>
        <v>47.16080885273972</v>
      </c>
      <c r="I28" s="136">
        <f t="shared" si="20"/>
        <v>43.822249848771264</v>
      </c>
      <c r="J28" s="136">
        <f t="shared" si="20"/>
        <v>43.487240072674417</v>
      </c>
      <c r="K28" s="136">
        <f t="shared" si="20"/>
        <v>44.714514852071005</v>
      </c>
      <c r="L28" s="136">
        <f t="shared" si="20"/>
        <v>41.895173736263736</v>
      </c>
      <c r="M28" s="136">
        <f t="shared" ref="M28" si="21">M27*0.3</f>
        <v>45.207942962962967</v>
      </c>
      <c r="N28" s="136">
        <f t="shared" si="20"/>
        <v>48.72398799344262</v>
      </c>
      <c r="O28" s="136">
        <f t="shared" si="20"/>
        <v>43.105115779220782</v>
      </c>
      <c r="P28" s="136">
        <f t="shared" si="20"/>
        <v>47.072454136842111</v>
      </c>
      <c r="Q28" s="136">
        <f t="shared" si="20"/>
        <v>43.839336680888287</v>
      </c>
      <c r="R28" s="136">
        <f t="shared" si="20"/>
        <v>45.563159465789468</v>
      </c>
    </row>
    <row r="29" spans="1:19">
      <c r="A29" s="446" t="s">
        <v>371</v>
      </c>
      <c r="C29" s="135"/>
      <c r="D29" s="136">
        <f>D27*(D19-D21)+(D27-D28)*D21</f>
        <v>8628.1934572661867</v>
      </c>
      <c r="E29" s="136">
        <f t="shared" ref="E29:Q29" si="22">E27*(E19-E21)+(E27-E28)*E21</f>
        <v>25960.328971917748</v>
      </c>
      <c r="F29" s="136">
        <f t="shared" si="22"/>
        <v>10325.147587503865</v>
      </c>
      <c r="G29" s="136">
        <f t="shared" si="22"/>
        <v>8391.4703281034472</v>
      </c>
      <c r="H29" s="136">
        <f t="shared" si="22"/>
        <v>4375.26543996484</v>
      </c>
      <c r="I29" s="136">
        <f t="shared" si="22"/>
        <v>2758.7567021463142</v>
      </c>
      <c r="J29" s="136">
        <f t="shared" si="22"/>
        <v>13976.509044423741</v>
      </c>
      <c r="K29" s="136">
        <f t="shared" si="22"/>
        <v>0</v>
      </c>
      <c r="L29" s="136">
        <f t="shared" si="22"/>
        <v>13326.016862030769</v>
      </c>
      <c r="M29" s="136">
        <f t="shared" ref="M29" si="23">M27*(M19-M21)+(M27-M28)*M21</f>
        <v>0</v>
      </c>
      <c r="N29" s="136">
        <f t="shared" si="22"/>
        <v>43427.040845382166</v>
      </c>
      <c r="O29" s="136">
        <f t="shared" si="22"/>
        <v>0</v>
      </c>
      <c r="P29" s="136">
        <f t="shared" si="22"/>
        <v>11229.604658885053</v>
      </c>
      <c r="Q29" s="136">
        <f t="shared" si="22"/>
        <v>3776.6127239362568</v>
      </c>
      <c r="R29" s="136">
        <f>SUM(D29:Q29)</f>
        <v>146174.94662156038</v>
      </c>
    </row>
    <row r="30" spans="1:19">
      <c r="A30" s="446"/>
      <c r="C30" s="135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</row>
    <row r="31" spans="1:19">
      <c r="A31" s="446" t="s">
        <v>214</v>
      </c>
      <c r="C31" s="135"/>
      <c r="D31" s="136">
        <f>D25+D29</f>
        <v>48565.568466618701</v>
      </c>
      <c r="E31" s="136">
        <f t="shared" ref="E31:P31" si="24">E25+E29</f>
        <v>444375.25546614517</v>
      </c>
      <c r="F31" s="136">
        <f t="shared" si="24"/>
        <v>148283.54437381055</v>
      </c>
      <c r="G31" s="136">
        <f t="shared" si="24"/>
        <v>40573.581312413793</v>
      </c>
      <c r="H31" s="136">
        <f t="shared" si="24"/>
        <v>86378.16735945754</v>
      </c>
      <c r="I31" s="136">
        <f t="shared" si="24"/>
        <v>100251.94305426881</v>
      </c>
      <c r="J31" s="136">
        <f t="shared" si="24"/>
        <v>196195.97365704924</v>
      </c>
      <c r="K31" s="136">
        <f t="shared" si="24"/>
        <v>29815.430159108877</v>
      </c>
      <c r="L31" s="136">
        <f t="shared" si="24"/>
        <v>288468.0088452769</v>
      </c>
      <c r="M31" s="136">
        <f t="shared" ref="M31" si="25">M25+M29</f>
        <v>15917.065732399999</v>
      </c>
      <c r="N31" s="136">
        <f t="shared" si="24"/>
        <v>312781.957581161</v>
      </c>
      <c r="O31" s="136">
        <f t="shared" si="24"/>
        <v>43594.111898151517</v>
      </c>
      <c r="P31" s="136">
        <f t="shared" si="24"/>
        <v>282421.77523649897</v>
      </c>
      <c r="Q31" s="136">
        <f>Q25+Q29</f>
        <v>424963.91688994196</v>
      </c>
      <c r="R31" s="136">
        <f>SUM(D31:Q31)</f>
        <v>2462586.3000323032</v>
      </c>
    </row>
    <row r="32" spans="1:19">
      <c r="A32" s="446" t="s">
        <v>395</v>
      </c>
      <c r="C32" s="135"/>
      <c r="D32" s="136">
        <f>(D20*D24)+(D21*D28)</f>
        <v>293.15232474820147</v>
      </c>
      <c r="E32" s="136">
        <f t="shared" ref="E32:R32" si="26">(E20*E24)+(E21*E28)</f>
        <v>2682.3456064354841</v>
      </c>
      <c r="F32" s="136">
        <f t="shared" si="26"/>
        <v>895.07169642139172</v>
      </c>
      <c r="G32" s="136">
        <f t="shared" si="26"/>
        <v>244.91095359605907</v>
      </c>
      <c r="H32" s="136">
        <f t="shared" si="26"/>
        <v>521.39738848767115</v>
      </c>
      <c r="I32" s="136">
        <f t="shared" si="26"/>
        <v>605.14251340604915</v>
      </c>
      <c r="J32" s="136">
        <f t="shared" si="26"/>
        <v>1184.2815311290697</v>
      </c>
      <c r="K32" s="136">
        <f t="shared" si="26"/>
        <v>179.97241544733726</v>
      </c>
      <c r="L32" s="136">
        <f t="shared" si="26"/>
        <v>1741.2555865912086</v>
      </c>
      <c r="M32" s="136">
        <f t="shared" ref="M32" si="27">(M20*M24)+(M21*M28)</f>
        <v>96.078867600000009</v>
      </c>
      <c r="N32" s="136">
        <f t="shared" si="26"/>
        <v>1888.0198646750159</v>
      </c>
      <c r="O32" s="136">
        <f t="shared" si="26"/>
        <v>263.14353258441565</v>
      </c>
      <c r="P32" s="136">
        <f t="shared" si="26"/>
        <v>1704.7592066589475</v>
      </c>
      <c r="Q32" s="136">
        <f t="shared" si="26"/>
        <v>2565.1745486314403</v>
      </c>
      <c r="R32" s="136">
        <f t="shared" si="26"/>
        <v>14827.161344844737</v>
      </c>
    </row>
    <row r="33" spans="1:18" ht="13">
      <c r="A33" s="131" t="s">
        <v>141</v>
      </c>
      <c r="C33" s="135"/>
      <c r="I33" s="136"/>
      <c r="J33" s="448"/>
      <c r="K33" s="448"/>
      <c r="L33" s="448"/>
      <c r="M33" s="448"/>
      <c r="N33" s="448"/>
      <c r="O33" s="448"/>
      <c r="P33" s="448"/>
      <c r="Q33" s="448"/>
    </row>
    <row r="34" spans="1:18">
      <c r="A34" s="446" t="s">
        <v>225</v>
      </c>
      <c r="D34" s="585">
        <f>R18</f>
        <v>11701</v>
      </c>
      <c r="F34" s="135"/>
    </row>
    <row r="35" spans="1:18">
      <c r="A35" s="446" t="s">
        <v>358</v>
      </c>
      <c r="D35" s="135">
        <f>D34</f>
        <v>11701</v>
      </c>
    </row>
    <row r="36" spans="1:18">
      <c r="A36" s="446" t="s">
        <v>359</v>
      </c>
      <c r="D36" s="135">
        <f>0*D34</f>
        <v>0</v>
      </c>
    </row>
    <row r="37" spans="1:18">
      <c r="A37" s="446" t="s">
        <v>228</v>
      </c>
      <c r="B37" s="586"/>
      <c r="C37" s="586"/>
      <c r="D37" s="585">
        <f>R19</f>
        <v>949</v>
      </c>
    </row>
    <row r="38" spans="1:18" ht="13">
      <c r="A38" s="447" t="s">
        <v>162</v>
      </c>
      <c r="B38" s="45"/>
      <c r="C38" s="152"/>
      <c r="D38" s="153">
        <f>E49</f>
        <v>111484.32500000001</v>
      </c>
    </row>
    <row r="39" spans="1:18" ht="13.5" thickBot="1">
      <c r="A39" s="447" t="s">
        <v>405</v>
      </c>
      <c r="B39" s="45"/>
      <c r="C39" s="152"/>
      <c r="D39" s="153">
        <f>$D$38*(D18/$D$34)</f>
        <v>2096.1072985214942</v>
      </c>
      <c r="E39" s="153">
        <f t="shared" ref="E39:R39" si="28">$D$38*(E18/$D$34)</f>
        <v>18798.27136355867</v>
      </c>
      <c r="F39" s="153">
        <f t="shared" si="28"/>
        <v>6840.932001538331</v>
      </c>
      <c r="G39" s="153">
        <f t="shared" si="28"/>
        <v>1429.1640671737462</v>
      </c>
      <c r="H39" s="153">
        <f t="shared" si="28"/>
        <v>3849.2152209212891</v>
      </c>
      <c r="I39" s="153">
        <f t="shared" si="28"/>
        <v>4840.1023074950863</v>
      </c>
      <c r="J39" s="153">
        <f t="shared" si="28"/>
        <v>9099.0112276728487</v>
      </c>
      <c r="K39" s="153">
        <f t="shared" si="28"/>
        <v>1457.7473485172209</v>
      </c>
      <c r="L39" s="153">
        <f t="shared" si="28"/>
        <v>14129.668744124436</v>
      </c>
      <c r="M39" s="153"/>
      <c r="N39" s="153">
        <f t="shared" si="28"/>
        <v>12328.922019485515</v>
      </c>
      <c r="O39" s="153">
        <f t="shared" si="28"/>
        <v>2191.3849029997436</v>
      </c>
      <c r="P39" s="153">
        <f t="shared" si="28"/>
        <v>12748.143479189814</v>
      </c>
      <c r="Q39" s="153">
        <f t="shared" si="28"/>
        <v>20903.906422527991</v>
      </c>
      <c r="R39" s="153">
        <f t="shared" si="28"/>
        <v>111484.32500000001</v>
      </c>
    </row>
    <row r="40" spans="1:18" ht="13">
      <c r="A40" s="449" t="s">
        <v>152</v>
      </c>
      <c r="B40" s="191"/>
      <c r="C40" s="192">
        <f>R31</f>
        <v>2462586.3000323032</v>
      </c>
      <c r="D40" s="208">
        <f>C40/C42</f>
        <v>0.95668948477332427</v>
      </c>
    </row>
    <row r="41" spans="1:18" ht="13">
      <c r="A41" s="450" t="s">
        <v>162</v>
      </c>
      <c r="B41" s="193"/>
      <c r="C41" s="194">
        <f>D38</f>
        <v>111484.32500000001</v>
      </c>
      <c r="D41" s="208">
        <f>C41/C42</f>
        <v>4.3310515226675624E-2</v>
      </c>
    </row>
    <row r="42" spans="1:18" ht="13.5" thickBot="1">
      <c r="A42" s="451" t="s">
        <v>168</v>
      </c>
      <c r="B42" s="195"/>
      <c r="C42" s="196">
        <f>C40+C41</f>
        <v>2574070.6250323034</v>
      </c>
      <c r="D42" s="153"/>
    </row>
    <row r="43" spans="1:18" ht="13" thickBot="1">
      <c r="A43" s="446"/>
      <c r="C43" s="135"/>
    </row>
    <row r="44" spans="1:18" ht="13">
      <c r="A44" s="449" t="s">
        <v>215</v>
      </c>
      <c r="B44" s="452"/>
      <c r="C44" s="453"/>
      <c r="D44" s="452"/>
      <c r="E44" s="454"/>
    </row>
    <row r="45" spans="1:18">
      <c r="A45" s="455" t="s">
        <v>142</v>
      </c>
      <c r="B45" s="456"/>
      <c r="C45" s="457"/>
      <c r="D45" s="458"/>
      <c r="E45" s="459">
        <f>E52+E53+E54+E55</f>
        <v>26619.775000000001</v>
      </c>
      <c r="H45"/>
      <c r="I45"/>
      <c r="J45"/>
      <c r="K45"/>
      <c r="L45"/>
      <c r="M45"/>
      <c r="N45"/>
      <c r="O45"/>
      <c r="P45"/>
    </row>
    <row r="46" spans="1:18" ht="12.75" customHeight="1">
      <c r="A46" s="460" t="s">
        <v>143</v>
      </c>
      <c r="B46" s="461"/>
      <c r="C46" s="462"/>
      <c r="D46" s="463"/>
      <c r="E46" s="464">
        <f>E57+E58+E59+E60</f>
        <v>15211.300000000001</v>
      </c>
      <c r="F46" s="465"/>
      <c r="H46"/>
      <c r="I46"/>
      <c r="J46"/>
      <c r="K46"/>
      <c r="L46"/>
      <c r="M46"/>
      <c r="N46"/>
      <c r="O46"/>
      <c r="P46"/>
    </row>
    <row r="47" spans="1:18" ht="17.25" customHeight="1">
      <c r="A47" s="455" t="s">
        <v>144</v>
      </c>
      <c r="B47" s="466"/>
      <c r="C47" s="457"/>
      <c r="D47" s="466"/>
      <c r="E47" s="459">
        <f>E62+E63+E64</f>
        <v>38028.25</v>
      </c>
      <c r="H47"/>
      <c r="I47"/>
      <c r="J47"/>
      <c r="K47"/>
      <c r="L47"/>
      <c r="M47"/>
      <c r="N47"/>
      <c r="O47"/>
      <c r="P47"/>
    </row>
    <row r="48" spans="1:18" ht="14.5" customHeight="1">
      <c r="A48" s="460" t="s">
        <v>50</v>
      </c>
      <c r="B48" s="461"/>
      <c r="C48" s="462"/>
      <c r="D48" s="463"/>
      <c r="E48" s="464">
        <f>E66+E67</f>
        <v>31625</v>
      </c>
      <c r="H48"/>
      <c r="I48"/>
      <c r="J48"/>
      <c r="K48"/>
      <c r="L48"/>
      <c r="M48"/>
      <c r="N48"/>
      <c r="O48"/>
      <c r="P48"/>
    </row>
    <row r="49" spans="1:16" ht="14.5" customHeight="1">
      <c r="A49" s="467" t="s">
        <v>153</v>
      </c>
      <c r="B49" s="468"/>
      <c r="C49" s="468"/>
      <c r="D49" s="468"/>
      <c r="E49" s="469">
        <f>SUM(E45:E48)</f>
        <v>111484.32500000001</v>
      </c>
      <c r="H49"/>
      <c r="I49"/>
      <c r="J49"/>
      <c r="K49"/>
      <c r="L49"/>
      <c r="M49"/>
      <c r="N49"/>
      <c r="O49"/>
      <c r="P49"/>
    </row>
    <row r="50" spans="1:16" ht="14.5" customHeight="1">
      <c r="A50" s="470" t="s">
        <v>154</v>
      </c>
      <c r="B50" s="471"/>
      <c r="C50" s="471"/>
      <c r="D50" s="471"/>
      <c r="E50" s="472">
        <f>E49/D35</f>
        <v>9.5277604478249724</v>
      </c>
      <c r="H50"/>
      <c r="I50"/>
      <c r="J50"/>
      <c r="K50"/>
      <c r="L50"/>
      <c r="M50"/>
      <c r="N50"/>
      <c r="O50"/>
      <c r="P50"/>
    </row>
    <row r="51" spans="1:16" ht="26.25" customHeight="1">
      <c r="A51" s="313" t="s">
        <v>142</v>
      </c>
      <c r="B51" s="473" t="s">
        <v>92</v>
      </c>
      <c r="C51" s="473"/>
      <c r="D51" s="474" t="s">
        <v>93</v>
      </c>
      <c r="E51" s="475" t="s">
        <v>94</v>
      </c>
      <c r="H51"/>
      <c r="I51"/>
      <c r="J51"/>
      <c r="K51"/>
      <c r="L51"/>
      <c r="M51"/>
      <c r="N51"/>
      <c r="O51"/>
      <c r="P51"/>
    </row>
    <row r="52" spans="1:16">
      <c r="A52" s="476" t="s">
        <v>78</v>
      </c>
      <c r="B52" s="311">
        <v>6.5000000000000002E-2</v>
      </c>
      <c r="C52" s="477">
        <f>$D$34*B52</f>
        <v>760.56500000000005</v>
      </c>
      <c r="D52" s="478">
        <v>35</v>
      </c>
      <c r="E52" s="479">
        <f>+D52*C52</f>
        <v>26619.775000000001</v>
      </c>
      <c r="F52" s="480"/>
      <c r="H52"/>
      <c r="I52"/>
      <c r="J52"/>
      <c r="K52"/>
      <c r="L52"/>
      <c r="M52"/>
      <c r="N52"/>
      <c r="O52"/>
      <c r="P52"/>
    </row>
    <row r="53" spans="1:16" ht="32.25" customHeight="1">
      <c r="A53" s="476" t="s">
        <v>79</v>
      </c>
      <c r="B53" s="311">
        <v>0</v>
      </c>
      <c r="C53" s="477">
        <f>$D$34*B53</f>
        <v>0</v>
      </c>
      <c r="D53" s="478">
        <v>25</v>
      </c>
      <c r="E53" s="479">
        <f>+D53*C53</f>
        <v>0</v>
      </c>
      <c r="F53" s="136"/>
      <c r="H53"/>
      <c r="I53"/>
      <c r="J53"/>
      <c r="K53"/>
      <c r="L53"/>
      <c r="M53"/>
      <c r="N53"/>
      <c r="O53"/>
      <c r="P53"/>
    </row>
    <row r="54" spans="1:16">
      <c r="A54" s="476" t="s">
        <v>80</v>
      </c>
      <c r="B54" s="311">
        <v>0</v>
      </c>
      <c r="C54" s="477">
        <f>$D$34*B54</f>
        <v>0</v>
      </c>
      <c r="D54" s="478">
        <v>10</v>
      </c>
      <c r="E54" s="479">
        <f>+D54*C54</f>
        <v>0</v>
      </c>
      <c r="F54" s="136"/>
      <c r="H54"/>
      <c r="I54"/>
      <c r="J54"/>
      <c r="K54"/>
      <c r="L54"/>
      <c r="M54"/>
      <c r="N54"/>
      <c r="O54"/>
      <c r="P54"/>
    </row>
    <row r="55" spans="1:16" ht="19.5" customHeight="1">
      <c r="A55" s="481" t="s">
        <v>96</v>
      </c>
      <c r="B55" s="486">
        <v>0.93500000000000005</v>
      </c>
      <c r="C55" s="477">
        <f>$D$34*B55</f>
        <v>10940.435000000001</v>
      </c>
      <c r="D55" s="482">
        <v>0</v>
      </c>
      <c r="E55" s="479">
        <f>+D55*C55</f>
        <v>0</v>
      </c>
      <c r="F55" s="483"/>
      <c r="H55"/>
      <c r="I55"/>
      <c r="J55"/>
      <c r="K55"/>
      <c r="L55"/>
      <c r="M55"/>
      <c r="N55"/>
      <c r="O55"/>
      <c r="P55"/>
    </row>
    <row r="56" spans="1:16">
      <c r="A56" s="313" t="s">
        <v>143</v>
      </c>
      <c r="B56" s="473" t="s">
        <v>92</v>
      </c>
      <c r="C56" s="473"/>
      <c r="D56" s="474" t="s">
        <v>93</v>
      </c>
      <c r="E56" s="475" t="s">
        <v>94</v>
      </c>
      <c r="H56"/>
      <c r="I56"/>
      <c r="J56"/>
      <c r="K56"/>
      <c r="L56"/>
      <c r="M56"/>
      <c r="N56"/>
      <c r="O56"/>
      <c r="P56"/>
    </row>
    <row r="57" spans="1:16">
      <c r="A57" s="476" t="s">
        <v>78</v>
      </c>
      <c r="B57" s="311">
        <v>6.5000000000000002E-2</v>
      </c>
      <c r="C57" s="477">
        <f>$D$34*B57</f>
        <v>760.56500000000005</v>
      </c>
      <c r="D57" s="484">
        <v>20</v>
      </c>
      <c r="E57" s="479">
        <f>+D57*C57</f>
        <v>15211.300000000001</v>
      </c>
      <c r="H57"/>
      <c r="I57"/>
      <c r="J57"/>
      <c r="K57"/>
      <c r="L57"/>
      <c r="M57"/>
      <c r="N57"/>
      <c r="O57"/>
      <c r="P57"/>
    </row>
    <row r="58" spans="1:16">
      <c r="A58" s="476" t="s">
        <v>79</v>
      </c>
      <c r="B58" s="311">
        <v>0</v>
      </c>
      <c r="C58" s="477">
        <f>$D$34*B58</f>
        <v>0</v>
      </c>
      <c r="D58" s="484">
        <v>15</v>
      </c>
      <c r="E58" s="479">
        <f>+D58*C58</f>
        <v>0</v>
      </c>
      <c r="H58"/>
      <c r="I58"/>
      <c r="J58"/>
      <c r="K58"/>
      <c r="L58"/>
      <c r="M58"/>
      <c r="N58"/>
      <c r="O58"/>
      <c r="P58"/>
    </row>
    <row r="59" spans="1:16">
      <c r="A59" s="476" t="s">
        <v>80</v>
      </c>
      <c r="B59" s="311">
        <v>0</v>
      </c>
      <c r="C59" s="477">
        <f>$D$34*B59</f>
        <v>0</v>
      </c>
      <c r="D59" s="484">
        <v>5</v>
      </c>
      <c r="E59" s="479">
        <f>+D59*C59</f>
        <v>0</v>
      </c>
      <c r="H59"/>
      <c r="I59"/>
      <c r="J59"/>
      <c r="K59"/>
      <c r="L59"/>
      <c r="M59"/>
      <c r="N59"/>
      <c r="O59"/>
      <c r="P59"/>
    </row>
    <row r="60" spans="1:16" ht="26.25" customHeight="1">
      <c r="A60" s="481" t="s">
        <v>96</v>
      </c>
      <c r="B60" s="486">
        <v>0.93500000000000005</v>
      </c>
      <c r="C60" s="477">
        <f>$D$34*B60</f>
        <v>10940.435000000001</v>
      </c>
      <c r="D60" s="485">
        <v>0</v>
      </c>
      <c r="E60" s="479">
        <f>+D60*C60</f>
        <v>0</v>
      </c>
      <c r="H60"/>
      <c r="I60"/>
      <c r="J60"/>
      <c r="K60"/>
      <c r="L60"/>
      <c r="M60"/>
      <c r="N60"/>
      <c r="O60"/>
      <c r="P60"/>
    </row>
    <row r="61" spans="1:16">
      <c r="A61" s="313" t="s">
        <v>144</v>
      </c>
      <c r="B61" s="473" t="s">
        <v>92</v>
      </c>
      <c r="C61" s="473"/>
      <c r="D61" s="474" t="s">
        <v>93</v>
      </c>
      <c r="E61" s="475" t="s">
        <v>94</v>
      </c>
      <c r="H61"/>
      <c r="I61"/>
      <c r="J61"/>
      <c r="K61"/>
      <c r="L61"/>
      <c r="M61"/>
      <c r="N61"/>
      <c r="O61"/>
      <c r="P61"/>
    </row>
    <row r="62" spans="1:16">
      <c r="A62" s="476" t="s">
        <v>79</v>
      </c>
      <c r="B62" s="311">
        <v>6.5000000000000002E-2</v>
      </c>
      <c r="C62" s="477">
        <f>$D$34*B62</f>
        <v>760.56500000000005</v>
      </c>
      <c r="D62" s="484">
        <v>50</v>
      </c>
      <c r="E62" s="479">
        <f>+D62*C62</f>
        <v>38028.25</v>
      </c>
      <c r="H62"/>
      <c r="I62"/>
      <c r="J62"/>
      <c r="K62"/>
      <c r="L62"/>
      <c r="M62"/>
      <c r="N62"/>
      <c r="O62"/>
      <c r="P62"/>
    </row>
    <row r="63" spans="1:16">
      <c r="A63" s="476" t="s">
        <v>80</v>
      </c>
      <c r="B63" s="311">
        <v>0</v>
      </c>
      <c r="C63" s="477">
        <f>$D$34*B63</f>
        <v>0</v>
      </c>
      <c r="D63" s="484">
        <v>20</v>
      </c>
      <c r="E63" s="479">
        <f>+D63*C63</f>
        <v>0</v>
      </c>
      <c r="H63"/>
      <c r="I63"/>
      <c r="J63"/>
      <c r="K63"/>
      <c r="L63"/>
      <c r="M63"/>
      <c r="N63"/>
      <c r="O63"/>
      <c r="P63"/>
    </row>
    <row r="64" spans="1:16">
      <c r="A64" s="481" t="s">
        <v>96</v>
      </c>
      <c r="B64" s="486">
        <v>0.93500000000000005</v>
      </c>
      <c r="C64" s="477">
        <f>$D$34*B64</f>
        <v>10940.435000000001</v>
      </c>
      <c r="D64" s="485">
        <v>0</v>
      </c>
      <c r="E64" s="479">
        <f>+D64*C64</f>
        <v>0</v>
      </c>
      <c r="H64"/>
      <c r="I64"/>
      <c r="J64"/>
      <c r="K64"/>
      <c r="L64"/>
      <c r="M64"/>
      <c r="N64"/>
      <c r="O64"/>
      <c r="P64"/>
    </row>
    <row r="65" spans="1:5" ht="27.75" customHeight="1">
      <c r="A65" s="313" t="s">
        <v>145</v>
      </c>
      <c r="B65" s="473" t="s">
        <v>92</v>
      </c>
      <c r="C65" s="473"/>
      <c r="D65" s="474" t="s">
        <v>93</v>
      </c>
      <c r="E65" s="475" t="s">
        <v>94</v>
      </c>
    </row>
    <row r="66" spans="1:5">
      <c r="A66" s="476" t="s">
        <v>79</v>
      </c>
      <c r="B66" s="311">
        <v>0.25</v>
      </c>
      <c r="C66" s="477">
        <f>$R$17*B66</f>
        <v>3162.5</v>
      </c>
      <c r="D66" s="484">
        <v>10</v>
      </c>
      <c r="E66" s="479">
        <f>+D66*C66</f>
        <v>31625</v>
      </c>
    </row>
    <row r="67" spans="1:5">
      <c r="A67" s="481" t="s">
        <v>96</v>
      </c>
      <c r="B67" s="311">
        <v>0.75</v>
      </c>
      <c r="C67" s="477">
        <f>B67*R17</f>
        <v>9487.5</v>
      </c>
      <c r="D67" s="484">
        <v>0</v>
      </c>
      <c r="E67" s="479">
        <f>+D67*C67</f>
        <v>0</v>
      </c>
    </row>
    <row r="68" spans="1:5" ht="13" thickBot="1">
      <c r="A68" s="487"/>
      <c r="B68" s="488" t="s">
        <v>95</v>
      </c>
      <c r="C68" s="488"/>
      <c r="D68" s="488"/>
      <c r="E68" s="489">
        <f>E45+E46+E47+E48</f>
        <v>111484.32500000001</v>
      </c>
    </row>
    <row r="69" spans="1:5" ht="39" customHeight="1">
      <c r="A69" s="490"/>
      <c r="B69" s="491"/>
      <c r="C69" s="491"/>
      <c r="D69" s="491"/>
      <c r="E69" s="492"/>
    </row>
  </sheetData>
  <mergeCells count="3">
    <mergeCell ref="A2:C2"/>
    <mergeCell ref="A3:C3"/>
    <mergeCell ref="A7:C7"/>
  </mergeCells>
  <pageMargins left="0.7" right="0.7" top="0.75" bottom="0.75" header="0.3" footer="0.3"/>
  <pageSetup paperSize="9" scale="43" orientation="landscape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AE155"/>
  <sheetViews>
    <sheetView topLeftCell="A114" workbookViewId="0">
      <selection activeCell="A136" sqref="A136"/>
    </sheetView>
  </sheetViews>
  <sheetFormatPr baseColWidth="10" defaultColWidth="11.54296875" defaultRowHeight="12.5"/>
  <cols>
    <col min="1" max="1" width="42" style="202" customWidth="1"/>
    <col min="2" max="2" width="16.54296875" style="202" customWidth="1"/>
    <col min="3" max="3" width="14.54296875" style="202" customWidth="1"/>
    <col min="4" max="6" width="11.453125" style="202" customWidth="1"/>
    <col min="7" max="7" width="10.36328125" style="202" bestFit="1" customWidth="1"/>
    <col min="8" max="8" width="12.1796875" style="376" customWidth="1"/>
    <col min="9" max="9" width="11.1796875" style="376" customWidth="1"/>
    <col min="10" max="10" width="15.54296875" style="376" customWidth="1"/>
    <col min="11" max="12" width="14.81640625" style="376" customWidth="1"/>
    <col min="13" max="13" width="11.54296875" style="202" bestFit="1" customWidth="1"/>
    <col min="14" max="14" width="12.81640625" style="202" customWidth="1"/>
    <col min="15" max="17" width="15.453125" style="202" customWidth="1"/>
    <col min="18" max="18" width="14.54296875" style="202" bestFit="1" customWidth="1"/>
    <col min="19" max="19" width="12.54296875" style="202" customWidth="1"/>
    <col min="20" max="20" width="13" style="202" customWidth="1"/>
    <col min="21" max="21" width="17.1796875" style="202" customWidth="1"/>
    <col min="22" max="22" width="13.453125" style="202" bestFit="1" customWidth="1"/>
    <col min="23" max="16384" width="11.54296875" style="202"/>
  </cols>
  <sheetData>
    <row r="1" spans="1:12" ht="13" hidden="1" thickBot="1"/>
    <row r="2" spans="1:12" ht="14.5" hidden="1" thickBot="1">
      <c r="A2" s="612" t="s">
        <v>272</v>
      </c>
      <c r="B2" s="613"/>
      <c r="C2" s="614"/>
      <c r="H2" s="202"/>
      <c r="I2" s="202"/>
      <c r="J2" s="202"/>
      <c r="K2" s="202"/>
      <c r="L2" s="202"/>
    </row>
    <row r="3" spans="1:12" ht="14.15" hidden="1" customHeight="1" thickBot="1">
      <c r="H3" s="202"/>
      <c r="I3" s="202"/>
      <c r="J3" s="202"/>
      <c r="K3" s="202"/>
      <c r="L3" s="202"/>
    </row>
    <row r="4" spans="1:12" ht="70.5" hidden="1" thickBot="1">
      <c r="A4" s="377"/>
      <c r="B4" s="378" t="s">
        <v>258</v>
      </c>
      <c r="C4" s="379" t="s">
        <v>259</v>
      </c>
      <c r="D4" s="380" t="s">
        <v>254</v>
      </c>
      <c r="E4" s="380" t="s">
        <v>255</v>
      </c>
      <c r="H4" s="202"/>
      <c r="I4" s="202"/>
      <c r="J4" s="202"/>
      <c r="K4" s="202"/>
      <c r="L4" s="202"/>
    </row>
    <row r="5" spans="1:12" ht="14.5" hidden="1" thickBot="1">
      <c r="A5" s="381" t="s">
        <v>221</v>
      </c>
      <c r="B5" s="382">
        <v>1.22</v>
      </c>
      <c r="C5" s="383">
        <v>1.22</v>
      </c>
      <c r="D5" s="609">
        <v>337</v>
      </c>
      <c r="E5" s="609">
        <v>167</v>
      </c>
      <c r="H5" s="202"/>
      <c r="I5" s="202"/>
      <c r="J5" s="202"/>
      <c r="K5" s="202"/>
      <c r="L5" s="202"/>
    </row>
    <row r="6" spans="1:12" ht="14.5" hidden="1" thickBot="1">
      <c r="A6" s="381" t="s">
        <v>222</v>
      </c>
      <c r="B6" s="382">
        <v>2.2999999999999998</v>
      </c>
      <c r="C6" s="383">
        <v>2.2999999999999998</v>
      </c>
      <c r="D6" s="610"/>
      <c r="E6" s="610"/>
      <c r="H6" s="202"/>
      <c r="I6" s="202"/>
      <c r="J6" s="202"/>
      <c r="K6" s="202"/>
      <c r="L6" s="202"/>
    </row>
    <row r="7" spans="1:12" ht="14.5" hidden="1" thickBot="1">
      <c r="A7" s="381" t="s">
        <v>256</v>
      </c>
      <c r="B7" s="382">
        <v>0.4</v>
      </c>
      <c r="C7" s="383">
        <v>0.2</v>
      </c>
      <c r="D7" s="610"/>
      <c r="E7" s="610"/>
      <c r="H7" s="202"/>
      <c r="I7" s="202"/>
      <c r="J7" s="202"/>
      <c r="K7" s="202"/>
      <c r="L7" s="202"/>
    </row>
    <row r="8" spans="1:12" ht="14.5" hidden="1" thickBot="1">
      <c r="A8" s="381" t="s">
        <v>218</v>
      </c>
      <c r="B8" s="382">
        <v>0.4</v>
      </c>
      <c r="C8" s="383">
        <v>0.2</v>
      </c>
      <c r="D8" s="610"/>
      <c r="E8" s="610"/>
      <c r="H8" s="202"/>
      <c r="I8" s="202"/>
      <c r="J8" s="202"/>
      <c r="K8" s="202"/>
      <c r="L8" s="202"/>
    </row>
    <row r="9" spans="1:12" ht="14.5" hidden="1" thickBot="1">
      <c r="A9" s="381" t="s">
        <v>219</v>
      </c>
      <c r="B9" s="382">
        <v>0.4</v>
      </c>
      <c r="C9" s="383">
        <v>0.2</v>
      </c>
      <c r="D9" s="610"/>
      <c r="E9" s="610"/>
      <c r="H9" s="202"/>
      <c r="I9" s="202"/>
      <c r="J9" s="202"/>
      <c r="K9" s="202"/>
      <c r="L9" s="202"/>
    </row>
    <row r="10" spans="1:12" ht="14.5" hidden="1" thickBot="1">
      <c r="A10" s="381" t="s">
        <v>257</v>
      </c>
      <c r="B10" s="382">
        <v>0.4</v>
      </c>
      <c r="C10" s="383">
        <v>0.2</v>
      </c>
      <c r="D10" s="611"/>
      <c r="E10" s="611"/>
      <c r="H10" s="202"/>
      <c r="I10" s="202"/>
      <c r="J10" s="202"/>
      <c r="K10" s="202"/>
      <c r="L10" s="202"/>
    </row>
    <row r="11" spans="1:12" hidden="1">
      <c r="H11" s="202"/>
      <c r="I11" s="202"/>
      <c r="J11" s="202"/>
      <c r="K11" s="202"/>
      <c r="L11" s="202"/>
    </row>
    <row r="12" spans="1:12" ht="13" hidden="1" thickBot="1">
      <c r="H12" s="202"/>
      <c r="I12" s="202"/>
      <c r="J12" s="202"/>
      <c r="K12" s="202"/>
      <c r="L12" s="202"/>
    </row>
    <row r="13" spans="1:12" ht="14.5" hidden="1" thickBot="1">
      <c r="A13" s="612" t="s">
        <v>271</v>
      </c>
      <c r="B13" s="613"/>
      <c r="C13" s="614"/>
      <c r="H13" s="202"/>
      <c r="I13" s="202"/>
      <c r="J13" s="202"/>
      <c r="K13" s="202"/>
      <c r="L13" s="202"/>
    </row>
    <row r="14" spans="1:12" hidden="1">
      <c r="H14" s="202"/>
      <c r="I14" s="202"/>
      <c r="J14" s="202"/>
      <c r="K14" s="202"/>
      <c r="L14" s="202"/>
    </row>
    <row r="15" spans="1:12" ht="13" hidden="1" thickBot="1">
      <c r="A15" s="202" t="s">
        <v>216</v>
      </c>
      <c r="H15" s="202"/>
      <c r="I15" s="202"/>
      <c r="J15" s="202"/>
      <c r="K15" s="202"/>
      <c r="L15" s="202"/>
    </row>
    <row r="16" spans="1:12" ht="15" hidden="1" customHeight="1">
      <c r="A16" s="615" t="s">
        <v>217</v>
      </c>
      <c r="B16" s="617" t="s">
        <v>387</v>
      </c>
      <c r="C16" s="617" t="s">
        <v>386</v>
      </c>
      <c r="H16" s="202"/>
      <c r="I16" s="202"/>
      <c r="J16" s="202"/>
      <c r="K16" s="202"/>
      <c r="L16" s="202"/>
    </row>
    <row r="17" spans="1:31" ht="27" hidden="1" customHeight="1" thickBot="1">
      <c r="A17" s="616"/>
      <c r="B17" s="618"/>
      <c r="C17" s="618"/>
      <c r="H17" s="202"/>
      <c r="I17" s="202"/>
      <c r="J17" s="202"/>
      <c r="K17" s="202"/>
      <c r="L17" s="202"/>
    </row>
    <row r="18" spans="1:31" ht="14.5" hidden="1" thickBot="1">
      <c r="A18" s="381" t="s">
        <v>218</v>
      </c>
      <c r="B18" s="384" t="s">
        <v>251</v>
      </c>
      <c r="C18" s="609">
        <v>11.82</v>
      </c>
      <c r="H18" s="202"/>
      <c r="I18" s="202"/>
      <c r="J18" s="202"/>
      <c r="K18" s="202"/>
      <c r="L18" s="202"/>
    </row>
    <row r="19" spans="1:31" ht="14.5" hidden="1" thickBot="1">
      <c r="A19" s="381" t="s">
        <v>219</v>
      </c>
      <c r="B19" s="384" t="s">
        <v>252</v>
      </c>
      <c r="C19" s="610"/>
      <c r="H19" s="202"/>
      <c r="I19" s="202"/>
      <c r="J19" s="202"/>
      <c r="K19" s="202"/>
      <c r="L19" s="202"/>
    </row>
    <row r="20" spans="1:31" ht="14.5" hidden="1" thickBot="1">
      <c r="A20" s="381" t="s">
        <v>253</v>
      </c>
      <c r="B20" s="384" t="s">
        <v>251</v>
      </c>
      <c r="C20" s="610"/>
      <c r="H20" s="202"/>
      <c r="I20" s="202"/>
      <c r="J20" s="202"/>
      <c r="K20" s="202"/>
      <c r="L20" s="202"/>
    </row>
    <row r="21" spans="1:31" ht="14.5" hidden="1" thickBot="1">
      <c r="A21" s="381" t="s">
        <v>221</v>
      </c>
      <c r="B21" s="384" t="s">
        <v>252</v>
      </c>
      <c r="C21" s="611"/>
      <c r="H21" s="202"/>
      <c r="I21" s="202"/>
      <c r="J21" s="202"/>
      <c r="K21" s="202"/>
      <c r="L21" s="202"/>
    </row>
    <row r="22" spans="1:31" ht="14.5" hidden="1" thickBot="1">
      <c r="A22" s="622" t="s">
        <v>222</v>
      </c>
      <c r="B22" s="384">
        <v>120</v>
      </c>
      <c r="C22" s="383">
        <v>12.73</v>
      </c>
      <c r="H22" s="202"/>
      <c r="I22" s="202"/>
      <c r="J22" s="202"/>
      <c r="K22" s="202"/>
      <c r="L22" s="202"/>
    </row>
    <row r="23" spans="1:31" ht="14.5" hidden="1" thickBot="1">
      <c r="A23" s="623"/>
      <c r="B23" s="384">
        <v>240</v>
      </c>
      <c r="C23" s="383">
        <v>14.55</v>
      </c>
      <c r="H23" s="202"/>
      <c r="I23" s="202"/>
      <c r="J23" s="202"/>
      <c r="K23" s="202"/>
      <c r="L23" s="202"/>
    </row>
    <row r="24" spans="1:31" ht="14.5" hidden="1" thickBot="1">
      <c r="A24" s="623"/>
      <c r="B24" s="384">
        <v>360</v>
      </c>
      <c r="C24" s="383">
        <v>16.36</v>
      </c>
      <c r="H24" s="202"/>
      <c r="I24" s="202"/>
      <c r="J24" s="202"/>
      <c r="K24" s="202"/>
      <c r="L24" s="202"/>
    </row>
    <row r="25" spans="1:31" ht="14.5" hidden="1" thickBot="1">
      <c r="A25" s="624"/>
      <c r="B25" s="385">
        <v>1100</v>
      </c>
      <c r="C25" s="383">
        <v>27.27</v>
      </c>
      <c r="H25" s="202"/>
      <c r="I25" s="202"/>
      <c r="J25" s="202"/>
      <c r="K25" s="202"/>
      <c r="L25" s="202"/>
    </row>
    <row r="26" spans="1:31" hidden="1"/>
    <row r="27" spans="1:31" hidden="1"/>
    <row r="28" spans="1:31" ht="13" hidden="1" thickBot="1"/>
    <row r="29" spans="1:31" ht="36" hidden="1" thickBot="1">
      <c r="A29" s="612" t="s">
        <v>146</v>
      </c>
      <c r="B29" s="613"/>
      <c r="C29" s="614"/>
      <c r="D29" s="386"/>
      <c r="E29" s="386"/>
      <c r="F29" s="386"/>
      <c r="U29" s="387" t="s">
        <v>178</v>
      </c>
      <c r="V29" s="388">
        <v>438790.31000000262</v>
      </c>
    </row>
    <row r="30" spans="1:31" ht="14.5" hidden="1">
      <c r="B30" s="389"/>
      <c r="C30" s="389"/>
      <c r="D30" s="389"/>
      <c r="E30" s="389"/>
      <c r="F30" s="389"/>
      <c r="G30" s="389"/>
    </row>
    <row r="31" spans="1:31" ht="21.5" hidden="1">
      <c r="A31" s="372">
        <v>2023</v>
      </c>
      <c r="B31" s="390" t="s">
        <v>179</v>
      </c>
      <c r="C31" s="391" t="s">
        <v>180</v>
      </c>
      <c r="D31" s="392" t="s">
        <v>181</v>
      </c>
      <c r="E31" s="393" t="s">
        <v>182</v>
      </c>
      <c r="F31" s="394" t="s">
        <v>183</v>
      </c>
      <c r="G31" s="395" t="s">
        <v>184</v>
      </c>
      <c r="H31" s="396" t="s">
        <v>185</v>
      </c>
      <c r="I31" s="396"/>
      <c r="J31" s="396" t="s">
        <v>186</v>
      </c>
      <c r="K31" s="396"/>
      <c r="L31" s="396"/>
      <c r="M31" s="397" t="s">
        <v>187</v>
      </c>
      <c r="N31" s="397"/>
      <c r="O31" s="397"/>
      <c r="P31" s="397"/>
      <c r="Q31" s="397" t="s">
        <v>188</v>
      </c>
      <c r="R31" s="397"/>
      <c r="S31" s="323" t="s">
        <v>189</v>
      </c>
      <c r="W31" s="201"/>
      <c r="Y31" s="201"/>
      <c r="Z31" s="201"/>
      <c r="AB31" s="201"/>
      <c r="AC31" s="201"/>
      <c r="AE31" s="201"/>
    </row>
    <row r="32" spans="1:31" hidden="1">
      <c r="A32" s="351" t="s">
        <v>0</v>
      </c>
      <c r="B32" s="203">
        <v>2400</v>
      </c>
      <c r="C32" s="203">
        <v>4580</v>
      </c>
      <c r="D32" s="203">
        <f>9200*0.5</f>
        <v>4600</v>
      </c>
      <c r="E32" s="203">
        <f>9120*0.5</f>
        <v>4560</v>
      </c>
      <c r="F32" s="203">
        <f>3600*0.5</f>
        <v>1800</v>
      </c>
      <c r="G32" s="203"/>
      <c r="H32" s="203">
        <v>4</v>
      </c>
      <c r="I32" s="203"/>
      <c r="J32" s="203">
        <v>162</v>
      </c>
      <c r="K32" s="203"/>
      <c r="L32" s="203"/>
      <c r="M32" s="214">
        <f t="shared" ref="M32:M45" si="0">H32*337</f>
        <v>1348</v>
      </c>
      <c r="N32" s="214"/>
      <c r="O32" s="214"/>
      <c r="P32" s="214"/>
      <c r="Q32" s="214">
        <f t="shared" ref="Q32:Q45" si="1">(B32*$B$50)+(C32*$C$50)+(D32*$D$50)+(E32*$E$50)+(F32*$F$50)+(G32*$F$50)</f>
        <v>17846</v>
      </c>
      <c r="R32" s="214"/>
      <c r="S32" s="214">
        <f t="shared" ref="S32:S45" si="2">SUM(M32:Q32)</f>
        <v>19194</v>
      </c>
      <c r="T32" s="201"/>
      <c r="W32" s="201"/>
      <c r="Y32" s="201"/>
      <c r="Z32" s="201"/>
      <c r="AB32" s="201"/>
      <c r="AC32" s="201"/>
      <c r="AE32" s="201"/>
    </row>
    <row r="33" spans="1:31" hidden="1">
      <c r="A33" s="351" t="s">
        <v>1</v>
      </c>
      <c r="B33" s="203">
        <v>8420</v>
      </c>
      <c r="C33" s="203">
        <v>10840</v>
      </c>
      <c r="D33" s="203">
        <v>15980</v>
      </c>
      <c r="E33" s="203">
        <v>17100</v>
      </c>
      <c r="F33" s="203">
        <v>7840</v>
      </c>
      <c r="G33" s="203">
        <v>1640</v>
      </c>
      <c r="H33" s="203">
        <v>6</v>
      </c>
      <c r="I33" s="203"/>
      <c r="J33" s="203">
        <v>81</v>
      </c>
      <c r="K33" s="203"/>
      <c r="L33" s="203"/>
      <c r="M33" s="214">
        <f t="shared" si="0"/>
        <v>2022</v>
      </c>
      <c r="N33" s="214"/>
      <c r="O33" s="214"/>
      <c r="P33" s="214"/>
      <c r="Q33" s="214">
        <f t="shared" si="1"/>
        <v>52228.399999999994</v>
      </c>
      <c r="R33" s="214"/>
      <c r="S33" s="214">
        <f t="shared" si="2"/>
        <v>54250.399999999994</v>
      </c>
      <c r="T33" s="201"/>
      <c r="W33" s="201"/>
      <c r="Y33" s="201"/>
      <c r="Z33" s="201"/>
      <c r="AB33" s="201"/>
      <c r="AC33" s="201"/>
      <c r="AE33" s="201"/>
    </row>
    <row r="34" spans="1:31" hidden="1">
      <c r="A34" s="351" t="s">
        <v>2</v>
      </c>
      <c r="B34" s="203">
        <v>2960</v>
      </c>
      <c r="C34" s="203">
        <v>2540</v>
      </c>
      <c r="D34" s="203">
        <v>4020</v>
      </c>
      <c r="E34" s="203">
        <v>3160</v>
      </c>
      <c r="F34" s="203">
        <v>1960</v>
      </c>
      <c r="G34" s="203">
        <v>600</v>
      </c>
      <c r="H34" s="203">
        <v>5</v>
      </c>
      <c r="I34" s="203"/>
      <c r="J34" s="203">
        <v>0</v>
      </c>
      <c r="K34" s="203"/>
      <c r="L34" s="203"/>
      <c r="M34" s="214">
        <f t="shared" si="0"/>
        <v>1685</v>
      </c>
      <c r="N34" s="214"/>
      <c r="O34" s="214"/>
      <c r="P34" s="214"/>
      <c r="Q34" s="214">
        <f t="shared" si="1"/>
        <v>13349.2</v>
      </c>
      <c r="R34" s="214"/>
      <c r="S34" s="214">
        <f t="shared" si="2"/>
        <v>15034.2</v>
      </c>
      <c r="T34" s="201"/>
      <c r="U34" s="201"/>
      <c r="W34" s="201"/>
      <c r="Y34" s="201"/>
      <c r="Z34" s="201"/>
      <c r="AB34" s="201"/>
      <c r="AC34" s="201"/>
      <c r="AE34" s="201"/>
    </row>
    <row r="35" spans="1:31" hidden="1">
      <c r="A35" s="351" t="s">
        <v>12</v>
      </c>
      <c r="B35" s="203">
        <v>3640</v>
      </c>
      <c r="C35" s="203">
        <v>3800</v>
      </c>
      <c r="D35" s="203">
        <f>8160*0.5</f>
        <v>4080</v>
      </c>
      <c r="E35" s="203">
        <f>7680*0.5</f>
        <v>3840</v>
      </c>
      <c r="F35" s="203">
        <f>7800*0.5</f>
        <v>3900</v>
      </c>
      <c r="G35" s="203"/>
      <c r="H35" s="203">
        <v>1</v>
      </c>
      <c r="I35" s="203"/>
      <c r="J35" s="203">
        <v>70</v>
      </c>
      <c r="K35" s="203"/>
      <c r="L35" s="203"/>
      <c r="M35" s="214">
        <f t="shared" si="0"/>
        <v>337</v>
      </c>
      <c r="N35" s="214"/>
      <c r="O35" s="214"/>
      <c r="P35" s="214"/>
      <c r="Q35" s="214">
        <f t="shared" si="1"/>
        <v>17908.8</v>
      </c>
      <c r="R35" s="214"/>
      <c r="S35" s="214">
        <f t="shared" si="2"/>
        <v>18245.8</v>
      </c>
      <c r="T35" s="201"/>
      <c r="U35" s="201"/>
      <c r="W35" s="201"/>
      <c r="Y35" s="201"/>
      <c r="Z35" s="201"/>
      <c r="AB35" s="201"/>
      <c r="AC35" s="201"/>
      <c r="AE35" s="201"/>
    </row>
    <row r="36" spans="1:31" hidden="1">
      <c r="A36" s="351" t="s">
        <v>109</v>
      </c>
      <c r="B36" s="203">
        <v>980</v>
      </c>
      <c r="C36" s="203">
        <v>1340</v>
      </c>
      <c r="D36" s="203">
        <v>880</v>
      </c>
      <c r="E36" s="203">
        <v>1760</v>
      </c>
      <c r="F36" s="203">
        <v>640</v>
      </c>
      <c r="G36" s="203">
        <v>720</v>
      </c>
      <c r="H36" s="203">
        <v>3</v>
      </c>
      <c r="I36" s="203"/>
      <c r="J36" s="203">
        <v>7</v>
      </c>
      <c r="K36" s="203"/>
      <c r="L36" s="203"/>
      <c r="M36" s="214">
        <f t="shared" si="0"/>
        <v>1011</v>
      </c>
      <c r="N36" s="214"/>
      <c r="O36" s="214"/>
      <c r="P36" s="214"/>
      <c r="Q36" s="214">
        <f t="shared" si="1"/>
        <v>5877.5999999999995</v>
      </c>
      <c r="R36" s="214"/>
      <c r="S36" s="214">
        <f t="shared" si="2"/>
        <v>6888.5999999999995</v>
      </c>
      <c r="T36" s="201"/>
      <c r="U36" s="201"/>
      <c r="W36" s="201"/>
      <c r="Y36" s="201"/>
      <c r="Z36" s="201"/>
      <c r="AB36" s="201"/>
      <c r="AC36" s="201"/>
      <c r="AE36" s="201"/>
    </row>
    <row r="37" spans="1:31" hidden="1">
      <c r="A37" s="351" t="s">
        <v>4</v>
      </c>
      <c r="B37" s="203">
        <v>1960</v>
      </c>
      <c r="C37" s="203">
        <v>1180</v>
      </c>
      <c r="D37" s="203">
        <v>2440</v>
      </c>
      <c r="E37" s="203">
        <v>2520</v>
      </c>
      <c r="F37" s="203">
        <v>1440</v>
      </c>
      <c r="G37" s="203">
        <v>520</v>
      </c>
      <c r="H37" s="203">
        <v>1</v>
      </c>
      <c r="I37" s="203"/>
      <c r="J37" s="203">
        <v>3</v>
      </c>
      <c r="K37" s="203"/>
      <c r="L37" s="203"/>
      <c r="M37" s="214">
        <f t="shared" si="0"/>
        <v>337</v>
      </c>
      <c r="N37" s="214"/>
      <c r="O37" s="214"/>
      <c r="P37" s="214"/>
      <c r="Q37" s="214">
        <f t="shared" si="1"/>
        <v>7873.2</v>
      </c>
      <c r="R37" s="214"/>
      <c r="S37" s="214">
        <f t="shared" si="2"/>
        <v>8210.2000000000007</v>
      </c>
      <c r="T37" s="201"/>
      <c r="U37" s="201"/>
      <c r="W37" s="201"/>
      <c r="Y37" s="201"/>
      <c r="Z37" s="201"/>
      <c r="AB37" s="201"/>
      <c r="AC37" s="201"/>
      <c r="AE37" s="201"/>
    </row>
    <row r="38" spans="1:31" hidden="1">
      <c r="A38" s="351" t="s">
        <v>5</v>
      </c>
      <c r="B38" s="203">
        <v>1440</v>
      </c>
      <c r="C38" s="203">
        <v>1080</v>
      </c>
      <c r="D38" s="203">
        <v>1200</v>
      </c>
      <c r="E38" s="203">
        <v>960</v>
      </c>
      <c r="F38" s="203">
        <v>960</v>
      </c>
      <c r="G38" s="203">
        <v>280</v>
      </c>
      <c r="H38" s="203">
        <v>0</v>
      </c>
      <c r="I38" s="203"/>
      <c r="J38" s="203">
        <v>128</v>
      </c>
      <c r="K38" s="203"/>
      <c r="L38" s="203"/>
      <c r="M38" s="214">
        <f t="shared" si="0"/>
        <v>0</v>
      </c>
      <c r="N38" s="214"/>
      <c r="O38" s="214"/>
      <c r="P38" s="214"/>
      <c r="Q38" s="214">
        <f t="shared" si="1"/>
        <v>5600.8</v>
      </c>
      <c r="R38" s="214"/>
      <c r="S38" s="214">
        <f t="shared" si="2"/>
        <v>5600.8</v>
      </c>
      <c r="T38" s="201"/>
      <c r="U38" s="201"/>
      <c r="W38" s="201"/>
      <c r="Y38" s="201"/>
      <c r="Z38" s="201"/>
      <c r="AB38" s="201"/>
      <c r="AC38" s="201"/>
      <c r="AE38" s="201"/>
    </row>
    <row r="39" spans="1:31" hidden="1">
      <c r="A39" s="351" t="s">
        <v>6</v>
      </c>
      <c r="B39" s="203">
        <v>820</v>
      </c>
      <c r="C39" s="203">
        <v>1020</v>
      </c>
      <c r="D39" s="203">
        <v>1440</v>
      </c>
      <c r="E39" s="203">
        <v>1240</v>
      </c>
      <c r="F39" s="203">
        <v>480</v>
      </c>
      <c r="G39" s="203">
        <v>120</v>
      </c>
      <c r="H39" s="203">
        <v>0</v>
      </c>
      <c r="I39" s="203"/>
      <c r="J39" s="203">
        <v>3</v>
      </c>
      <c r="K39" s="203"/>
      <c r="L39" s="203"/>
      <c r="M39" s="214">
        <f t="shared" si="0"/>
        <v>0</v>
      </c>
      <c r="N39" s="214"/>
      <c r="O39" s="214"/>
      <c r="P39" s="214"/>
      <c r="Q39" s="214">
        <f t="shared" si="1"/>
        <v>4658.3999999999996</v>
      </c>
      <c r="R39" s="214"/>
      <c r="S39" s="214">
        <f t="shared" si="2"/>
        <v>4658.3999999999996</v>
      </c>
      <c r="T39" s="201"/>
      <c r="U39" s="201"/>
      <c r="W39" s="201"/>
      <c r="Y39" s="201"/>
      <c r="Z39" s="201"/>
      <c r="AB39" s="201"/>
      <c r="AC39" s="201"/>
      <c r="AE39" s="201"/>
    </row>
    <row r="40" spans="1:31" hidden="1">
      <c r="A40" s="351" t="s">
        <v>7</v>
      </c>
      <c r="B40" s="203">
        <v>1700</v>
      </c>
      <c r="C40" s="203">
        <v>3080</v>
      </c>
      <c r="D40" s="203">
        <v>5560</v>
      </c>
      <c r="E40" s="203">
        <v>7580</v>
      </c>
      <c r="F40" s="203">
        <v>2240</v>
      </c>
      <c r="G40" s="203">
        <v>0</v>
      </c>
      <c r="H40" s="203">
        <v>0</v>
      </c>
      <c r="I40" s="203"/>
      <c r="J40" s="203">
        <v>19</v>
      </c>
      <c r="K40" s="203"/>
      <c r="L40" s="203"/>
      <c r="M40" s="214">
        <f t="shared" si="0"/>
        <v>0</v>
      </c>
      <c r="N40" s="214"/>
      <c r="O40" s="214"/>
      <c r="P40" s="214"/>
      <c r="Q40" s="214">
        <f t="shared" si="1"/>
        <v>15310</v>
      </c>
      <c r="R40" s="214"/>
      <c r="S40" s="214">
        <f t="shared" si="2"/>
        <v>15310</v>
      </c>
      <c r="T40" s="201"/>
      <c r="U40" s="201"/>
      <c r="W40" s="201"/>
      <c r="Y40" s="201"/>
      <c r="Z40" s="201"/>
      <c r="AB40" s="201"/>
      <c r="AC40" s="201"/>
      <c r="AE40" s="201"/>
    </row>
    <row r="41" spans="1:31" hidden="1">
      <c r="A41" s="351" t="s">
        <v>8</v>
      </c>
      <c r="B41" s="203">
        <v>5200</v>
      </c>
      <c r="C41" s="203">
        <v>5760</v>
      </c>
      <c r="D41" s="203">
        <v>7200</v>
      </c>
      <c r="E41" s="203">
        <v>10140</v>
      </c>
      <c r="F41" s="203">
        <v>4440</v>
      </c>
      <c r="G41" s="203">
        <v>400</v>
      </c>
      <c r="H41" s="203">
        <v>7</v>
      </c>
      <c r="I41" s="203"/>
      <c r="J41" s="203">
        <v>48</v>
      </c>
      <c r="K41" s="203"/>
      <c r="L41" s="203"/>
      <c r="M41" s="214">
        <f t="shared" si="0"/>
        <v>2359</v>
      </c>
      <c r="N41" s="214"/>
      <c r="O41" s="214"/>
      <c r="P41" s="214"/>
      <c r="Q41" s="214">
        <f t="shared" si="1"/>
        <v>28464</v>
      </c>
      <c r="R41" s="214"/>
      <c r="S41" s="214">
        <f t="shared" si="2"/>
        <v>30823</v>
      </c>
      <c r="T41" s="201"/>
      <c r="U41" s="201"/>
      <c r="W41" s="201"/>
      <c r="Y41" s="201"/>
      <c r="Z41" s="201"/>
      <c r="AB41" s="201"/>
      <c r="AC41" s="201"/>
      <c r="AE41" s="201"/>
    </row>
    <row r="42" spans="1:31" hidden="1">
      <c r="A42" s="351" t="s">
        <v>9</v>
      </c>
      <c r="B42" s="203">
        <v>9960</v>
      </c>
      <c r="C42" s="203">
        <v>11600</v>
      </c>
      <c r="D42" s="203">
        <v>12960</v>
      </c>
      <c r="E42" s="203">
        <v>14280</v>
      </c>
      <c r="F42" s="203">
        <v>8840</v>
      </c>
      <c r="G42" s="203">
        <v>720</v>
      </c>
      <c r="H42" s="203">
        <v>9</v>
      </c>
      <c r="I42" s="203"/>
      <c r="J42" s="203">
        <v>54</v>
      </c>
      <c r="K42" s="203"/>
      <c r="L42" s="203"/>
      <c r="M42" s="214">
        <f t="shared" si="0"/>
        <v>3033</v>
      </c>
      <c r="N42" s="214"/>
      <c r="O42" s="214"/>
      <c r="P42" s="214"/>
      <c r="Q42" s="214">
        <f t="shared" si="1"/>
        <v>53551.199999999997</v>
      </c>
      <c r="R42" s="214"/>
      <c r="S42" s="214">
        <f t="shared" si="2"/>
        <v>56584.2</v>
      </c>
      <c r="T42" s="201"/>
      <c r="U42" s="201"/>
      <c r="W42" s="201"/>
      <c r="Y42" s="201"/>
      <c r="Z42" s="201"/>
      <c r="AB42" s="201"/>
      <c r="AC42" s="201"/>
      <c r="AE42" s="201"/>
    </row>
    <row r="43" spans="1:31" hidden="1">
      <c r="A43" s="351" t="s">
        <v>10</v>
      </c>
      <c r="B43" s="203">
        <v>420</v>
      </c>
      <c r="C43" s="203">
        <v>240</v>
      </c>
      <c r="D43" s="203">
        <v>840</v>
      </c>
      <c r="E43" s="203">
        <v>720</v>
      </c>
      <c r="F43" s="203">
        <v>120</v>
      </c>
      <c r="G43" s="203"/>
      <c r="H43" s="203">
        <v>0</v>
      </c>
      <c r="I43" s="203"/>
      <c r="J43" s="203">
        <v>5</v>
      </c>
      <c r="K43" s="203"/>
      <c r="L43" s="203"/>
      <c r="M43" s="214">
        <f t="shared" si="0"/>
        <v>0</v>
      </c>
      <c r="N43" s="214"/>
      <c r="O43" s="214"/>
      <c r="P43" s="214"/>
      <c r="Q43" s="214">
        <f t="shared" si="1"/>
        <v>1736.4</v>
      </c>
      <c r="R43" s="214"/>
      <c r="S43" s="214">
        <f t="shared" si="2"/>
        <v>1736.4</v>
      </c>
      <c r="T43" s="201"/>
      <c r="U43" s="201"/>
      <c r="W43" s="201"/>
      <c r="Y43" s="201"/>
      <c r="Z43" s="201"/>
      <c r="AB43" s="201"/>
      <c r="AC43" s="201"/>
      <c r="AE43" s="201"/>
    </row>
    <row r="44" spans="1:31" hidden="1">
      <c r="A44" s="351" t="s">
        <v>190</v>
      </c>
      <c r="B44" s="203">
        <v>4020</v>
      </c>
      <c r="C44" s="203">
        <v>7160</v>
      </c>
      <c r="D44" s="203">
        <v>12000</v>
      </c>
      <c r="E44" s="203">
        <v>12720</v>
      </c>
      <c r="F44" s="203">
        <v>3280</v>
      </c>
      <c r="G44" s="203">
        <v>880</v>
      </c>
      <c r="H44" s="203">
        <v>4</v>
      </c>
      <c r="I44" s="203"/>
      <c r="J44" s="203">
        <v>32</v>
      </c>
      <c r="K44" s="203"/>
      <c r="L44" s="203"/>
      <c r="M44" s="214">
        <f t="shared" si="0"/>
        <v>1348</v>
      </c>
      <c r="N44" s="214"/>
      <c r="O44" s="214"/>
      <c r="P44" s="214"/>
      <c r="Q44" s="214">
        <f t="shared" si="1"/>
        <v>32924.400000000001</v>
      </c>
      <c r="R44" s="214"/>
      <c r="S44" s="214">
        <f t="shared" si="2"/>
        <v>34272.400000000001</v>
      </c>
      <c r="T44" s="201"/>
      <c r="U44" s="201"/>
      <c r="W44" s="201"/>
      <c r="Y44" s="201"/>
      <c r="Z44" s="201"/>
      <c r="AB44" s="201"/>
      <c r="AC44" s="201"/>
      <c r="AE44" s="201"/>
    </row>
    <row r="45" spans="1:31" hidden="1">
      <c r="A45" s="351" t="s">
        <v>110</v>
      </c>
      <c r="B45" s="203">
        <v>6540</v>
      </c>
      <c r="C45" s="203">
        <v>13220</v>
      </c>
      <c r="D45" s="203">
        <v>15940</v>
      </c>
      <c r="E45" s="203">
        <v>18400</v>
      </c>
      <c r="F45" s="203">
        <v>5240</v>
      </c>
      <c r="G45" s="203">
        <v>1360</v>
      </c>
      <c r="H45" s="203">
        <v>1</v>
      </c>
      <c r="I45" s="203"/>
      <c r="J45" s="203">
        <v>60</v>
      </c>
      <c r="K45" s="203"/>
      <c r="L45" s="203"/>
      <c r="M45" s="214">
        <f t="shared" si="0"/>
        <v>337</v>
      </c>
      <c r="N45" s="214"/>
      <c r="O45" s="214"/>
      <c r="P45" s="214"/>
      <c r="Q45" s="214">
        <f t="shared" si="1"/>
        <v>54760.799999999996</v>
      </c>
      <c r="R45" s="214"/>
      <c r="S45" s="214">
        <f t="shared" si="2"/>
        <v>55097.799999999996</v>
      </c>
      <c r="T45" s="201"/>
      <c r="U45" s="201"/>
      <c r="W45" s="201"/>
      <c r="Y45" s="201"/>
      <c r="Z45" s="201"/>
      <c r="AB45" s="201"/>
      <c r="AC45" s="201"/>
      <c r="AE45" s="201"/>
    </row>
    <row r="46" spans="1:31" hidden="1">
      <c r="A46" s="398"/>
      <c r="B46" s="399">
        <f t="shared" ref="B46:G46" si="3">SUM(B32:B45)</f>
        <v>50460</v>
      </c>
      <c r="C46" s="399">
        <f t="shared" si="3"/>
        <v>67440</v>
      </c>
      <c r="D46" s="399">
        <f t="shared" si="3"/>
        <v>89140</v>
      </c>
      <c r="E46" s="399">
        <f t="shared" si="3"/>
        <v>98980</v>
      </c>
      <c r="F46" s="399">
        <f t="shared" si="3"/>
        <v>43180</v>
      </c>
      <c r="G46" s="399">
        <f t="shared" si="3"/>
        <v>7240</v>
      </c>
      <c r="H46" s="399"/>
      <c r="I46" s="399"/>
      <c r="J46" s="399"/>
      <c r="K46" s="399"/>
      <c r="L46" s="399"/>
      <c r="M46" s="214">
        <f>SUM(M32:M45)</f>
        <v>13817</v>
      </c>
      <c r="N46" s="214"/>
      <c r="O46" s="214"/>
      <c r="P46" s="214"/>
      <c r="Q46" s="214">
        <f>SUM(Q32:Q45)</f>
        <v>312089.19999999995</v>
      </c>
      <c r="R46" s="214"/>
      <c r="S46" s="214">
        <f>SUM(S32:S45)</f>
        <v>325906.19999999995</v>
      </c>
      <c r="T46" s="201"/>
      <c r="U46" s="201"/>
      <c r="W46" s="201"/>
      <c r="Y46" s="375"/>
      <c r="Z46" s="373"/>
      <c r="AE46" s="201"/>
    </row>
    <row r="47" spans="1:31" hidden="1">
      <c r="A47" s="398" t="s">
        <v>191</v>
      </c>
      <c r="B47" s="400"/>
      <c r="C47" s="400"/>
      <c r="D47" s="401">
        <f>D46/(D46+E46+F46)</f>
        <v>0.38538694336359708</v>
      </c>
      <c r="E47" s="401">
        <f>E46/(D46+E46+F46)</f>
        <v>0.42792909641158666</v>
      </c>
      <c r="F47" s="401">
        <f>F46/(D46+E46+F46)</f>
        <v>0.18668396022481626</v>
      </c>
      <c r="G47" s="400"/>
      <c r="J47" s="399"/>
      <c r="K47" s="399"/>
      <c r="L47" s="399"/>
      <c r="M47" s="201"/>
      <c r="N47" s="201"/>
      <c r="O47" s="201"/>
      <c r="P47" s="201"/>
      <c r="Q47" s="201"/>
      <c r="R47" s="201"/>
      <c r="T47" s="201"/>
      <c r="Y47" s="364"/>
    </row>
    <row r="48" spans="1:31" hidden="1">
      <c r="A48" s="398" t="s">
        <v>191</v>
      </c>
      <c r="B48" s="400">
        <f>B46</f>
        <v>50460</v>
      </c>
      <c r="C48" s="400">
        <f>C46</f>
        <v>67440</v>
      </c>
      <c r="D48" s="400">
        <f>D46+G46*D47</f>
        <v>91930.201469952444</v>
      </c>
      <c r="E48" s="400">
        <f>E46+G46*E47</f>
        <v>102078.20665801989</v>
      </c>
      <c r="F48" s="400">
        <f>F46+G46*F47</f>
        <v>44531.591872027668</v>
      </c>
      <c r="G48" s="400"/>
      <c r="Q48" s="292" t="e">
        <f>V29-M46-#REF!</f>
        <v>#REF!</v>
      </c>
      <c r="R48" s="292"/>
      <c r="Y48" s="364"/>
    </row>
    <row r="49" spans="1:31" hidden="1">
      <c r="A49" s="398" t="s">
        <v>192</v>
      </c>
      <c r="B49" s="402" t="e">
        <f>Q48*20%/B48</f>
        <v>#REF!</v>
      </c>
      <c r="C49" s="401" t="e">
        <f>Q48*50%/C48</f>
        <v>#REF!</v>
      </c>
      <c r="D49" s="401" t="e">
        <f>Q48*10%/D48</f>
        <v>#REF!</v>
      </c>
      <c r="E49" s="401" t="e">
        <f>Q48*10%/E48</f>
        <v>#REF!</v>
      </c>
      <c r="F49" s="401" t="e">
        <f>Q48*10%/F48</f>
        <v>#REF!</v>
      </c>
      <c r="G49" s="354"/>
      <c r="Q49" s="292"/>
      <c r="R49" s="292"/>
      <c r="X49" s="373"/>
    </row>
    <row r="50" spans="1:31" hidden="1">
      <c r="B50" s="401">
        <v>1.22</v>
      </c>
      <c r="C50" s="401">
        <v>2.2999999999999998</v>
      </c>
      <c r="D50" s="401">
        <v>0.4</v>
      </c>
      <c r="E50" s="401">
        <v>0.4</v>
      </c>
      <c r="F50" s="401">
        <v>0.4</v>
      </c>
      <c r="G50" s="354"/>
    </row>
    <row r="51" spans="1:31" hidden="1">
      <c r="B51" s="403">
        <f>B50*B48</f>
        <v>61561.2</v>
      </c>
      <c r="C51" s="403">
        <f>C50*C48</f>
        <v>155112</v>
      </c>
      <c r="D51" s="403">
        <f>D50*D48</f>
        <v>36772.080587980978</v>
      </c>
      <c r="E51" s="403">
        <f>E50*E48</f>
        <v>40831.28266320796</v>
      </c>
      <c r="F51" s="403">
        <f>F50*F48</f>
        <v>17812.636748811066</v>
      </c>
      <c r="G51" s="403">
        <f>SUM(B51:F51)</f>
        <v>312089.2</v>
      </c>
    </row>
    <row r="52" spans="1:31" hidden="1"/>
    <row r="53" spans="1:31" ht="14.5" hidden="1">
      <c r="B53" s="404"/>
      <c r="C53" s="404"/>
      <c r="D53" s="404"/>
      <c r="E53" s="404"/>
      <c r="F53" s="404"/>
      <c r="G53" s="404"/>
      <c r="H53" s="405"/>
      <c r="I53" s="405"/>
    </row>
    <row r="54" spans="1:31" hidden="1">
      <c r="B54" s="373"/>
      <c r="C54" s="373"/>
      <c r="D54" s="373"/>
      <c r="E54" s="373"/>
      <c r="F54" s="373"/>
      <c r="G54" s="373"/>
    </row>
    <row r="55" spans="1:31" ht="31.5" hidden="1">
      <c r="A55" s="406" t="s">
        <v>193</v>
      </c>
      <c r="B55" s="390" t="s">
        <v>179</v>
      </c>
      <c r="C55" s="391" t="s">
        <v>180</v>
      </c>
      <c r="D55" s="392" t="s">
        <v>181</v>
      </c>
      <c r="E55" s="393" t="s">
        <v>182</v>
      </c>
      <c r="F55" s="394" t="s">
        <v>183</v>
      </c>
      <c r="G55" s="395" t="s">
        <v>184</v>
      </c>
      <c r="H55" s="396" t="s">
        <v>185</v>
      </c>
      <c r="I55" s="396"/>
      <c r="J55" s="396" t="s">
        <v>186</v>
      </c>
      <c r="K55" s="396" t="s">
        <v>194</v>
      </c>
      <c r="L55" s="396"/>
      <c r="M55" s="397" t="s">
        <v>187</v>
      </c>
      <c r="N55" s="397"/>
      <c r="O55" s="397"/>
      <c r="P55" s="397"/>
      <c r="Q55" s="397" t="s">
        <v>188</v>
      </c>
      <c r="R55" s="397" t="s">
        <v>195</v>
      </c>
      <c r="S55" s="407" t="s">
        <v>300</v>
      </c>
      <c r="U55" s="323" t="s">
        <v>227</v>
      </c>
      <c r="V55" s="408">
        <v>150</v>
      </c>
      <c r="W55" s="201"/>
      <c r="Y55" s="201"/>
      <c r="Z55" s="201"/>
      <c r="AB55" s="201"/>
      <c r="AC55" s="201"/>
      <c r="AE55" s="201"/>
    </row>
    <row r="56" spans="1:31" hidden="1">
      <c r="A56" s="351" t="s">
        <v>196</v>
      </c>
      <c r="B56" s="203">
        <f>'[1]Litres TOTALS 2024'!D11</f>
        <v>2400</v>
      </c>
      <c r="C56" s="203">
        <f>'[1]Litres TOTALS 2024'!F11</f>
        <v>4460</v>
      </c>
      <c r="D56" s="203">
        <f>'[1]Litres TOTALS 2024'!H11</f>
        <v>9200</v>
      </c>
      <c r="E56" s="203">
        <f>'[1]Litres TOTALS 2024'!J11</f>
        <v>9240</v>
      </c>
      <c r="F56" s="203">
        <f>'[1]Litres TOTALS 2024'!L11</f>
        <v>3720</v>
      </c>
      <c r="G56" s="203">
        <f>'[1]Litres TOTALS 2024'!N11</f>
        <v>0</v>
      </c>
      <c r="H56" s="203">
        <v>4</v>
      </c>
      <c r="I56" s="203"/>
      <c r="J56" s="203">
        <v>122</v>
      </c>
      <c r="K56" s="203">
        <v>0</v>
      </c>
      <c r="L56" s="203"/>
      <c r="M56" s="214">
        <f t="shared" ref="M56:M71" si="4">H56*$V$56</f>
        <v>1348</v>
      </c>
      <c r="N56" s="214"/>
      <c r="O56" s="214"/>
      <c r="P56" s="214"/>
      <c r="Q56" s="214">
        <f>(B56*$B$77)+(C56*$C$77)+(D56*$D$77)+(E56*$E$77)+(F56*$F$77)+(G56*F77)</f>
        <v>17618</v>
      </c>
      <c r="R56" s="214">
        <f t="shared" ref="R56:R71" si="5">K56*$V$55</f>
        <v>0</v>
      </c>
      <c r="S56" s="214">
        <f t="shared" ref="S56:S71" si="6">SUM(M56:R56)</f>
        <v>18966</v>
      </c>
      <c r="T56" s="201"/>
      <c r="U56" s="323" t="s">
        <v>299</v>
      </c>
      <c r="V56" s="408">
        <v>337</v>
      </c>
      <c r="Y56" s="201"/>
      <c r="Z56" s="201"/>
      <c r="AB56" s="201"/>
      <c r="AC56" s="201"/>
      <c r="AE56" s="201"/>
    </row>
    <row r="57" spans="1:31" hidden="1">
      <c r="A57" s="351" t="s">
        <v>197</v>
      </c>
      <c r="B57" s="203">
        <f>'[1]Litres TOTALS 2024'!D20</f>
        <v>6180</v>
      </c>
      <c r="C57" s="203">
        <f>'[1]Litres TOTALS 2024'!F20</f>
        <v>8720</v>
      </c>
      <c r="D57" s="203">
        <f>'[1]Litres TOTALS 2024'!H20</f>
        <v>10600</v>
      </c>
      <c r="E57" s="203">
        <f>'[1]Litres TOTALS 2024'!J20</f>
        <v>11760</v>
      </c>
      <c r="F57" s="203">
        <f>'[1]Litres TOTALS 2024'!L20</f>
        <v>5240</v>
      </c>
      <c r="G57" s="203">
        <f>'[1]Litres TOTALS 2024'!N20</f>
        <v>1560</v>
      </c>
      <c r="H57" s="203">
        <v>4</v>
      </c>
      <c r="I57" s="203"/>
      <c r="J57" s="203">
        <v>81</v>
      </c>
      <c r="K57" s="203">
        <v>29</v>
      </c>
      <c r="L57" s="203"/>
      <c r="M57" s="214">
        <f t="shared" si="4"/>
        <v>1348</v>
      </c>
      <c r="N57" s="214"/>
      <c r="O57" s="214"/>
      <c r="P57" s="214"/>
      <c r="Q57" s="214">
        <f>(B57*$B$76)+(C57*$C$76)+(D57*$D$76)+(E57*$E$76)+(F57*$F$76)+(G57*$F$76)</f>
        <v>39259.599999999999</v>
      </c>
      <c r="R57" s="214">
        <f t="shared" si="5"/>
        <v>4350</v>
      </c>
      <c r="S57" s="214">
        <f t="shared" si="6"/>
        <v>44957.599999999999</v>
      </c>
      <c r="T57" s="201"/>
      <c r="W57" s="201"/>
      <c r="Y57" s="201"/>
      <c r="Z57" s="201"/>
      <c r="AB57" s="201"/>
      <c r="AC57" s="201"/>
      <c r="AE57" s="201"/>
    </row>
    <row r="58" spans="1:31" hidden="1">
      <c r="A58" s="351" t="s">
        <v>198</v>
      </c>
      <c r="B58" s="203">
        <f>'[1]Litres TOTALS 2024'!R20</f>
        <v>1780</v>
      </c>
      <c r="C58" s="203">
        <f>'[1]Litres TOTALS 2024'!T20</f>
        <v>3000</v>
      </c>
      <c r="D58" s="203">
        <f>'[1]Litres TOTALS 2024'!V20</f>
        <v>6080</v>
      </c>
      <c r="E58" s="203">
        <f>'[1]Litres TOTALS 2024'!X20</f>
        <v>5020</v>
      </c>
      <c r="F58" s="203">
        <f>'[1]Litres TOTALS 2024'!Z20</f>
        <v>2320</v>
      </c>
      <c r="G58" s="203">
        <f>'[1]Litres TOTALS 2024'!AB20</f>
        <v>120</v>
      </c>
      <c r="H58" s="203">
        <v>1</v>
      </c>
      <c r="I58" s="203"/>
      <c r="J58" s="204"/>
      <c r="K58" s="204"/>
      <c r="L58" s="204"/>
      <c r="M58" s="214">
        <f t="shared" si="4"/>
        <v>337</v>
      </c>
      <c r="N58" s="214"/>
      <c r="O58" s="214"/>
      <c r="P58" s="214"/>
      <c r="Q58" s="214">
        <f>(B58*$B$77)+(C58*$C$77)+(D58*$D$77)+(E58*$E$77)+(F58*$F$77)+(G58*$F$77)</f>
        <v>11779.599999999999</v>
      </c>
      <c r="R58" s="214">
        <f t="shared" si="5"/>
        <v>0</v>
      </c>
      <c r="S58" s="214">
        <f t="shared" si="6"/>
        <v>12116.599999999999</v>
      </c>
      <c r="T58" s="201"/>
      <c r="W58" s="201"/>
      <c r="Y58" s="201"/>
      <c r="Z58" s="201"/>
      <c r="AB58" s="201"/>
      <c r="AC58" s="201"/>
      <c r="AE58" s="201"/>
    </row>
    <row r="59" spans="1:31" hidden="1">
      <c r="A59" s="351" t="s">
        <v>2</v>
      </c>
      <c r="B59" s="203">
        <f>'[1]Litres TOTALS 2024'!D29</f>
        <v>1960</v>
      </c>
      <c r="C59" s="203">
        <f>'[1]Litres TOTALS 2024'!F29</f>
        <v>2280</v>
      </c>
      <c r="D59" s="203">
        <f>'[1]Litres TOTALS 2024'!H29</f>
        <v>4140</v>
      </c>
      <c r="E59" s="203">
        <f>'[1]Litres TOTALS 2024'!J29</f>
        <v>3280</v>
      </c>
      <c r="F59" s="203">
        <f>'[1]Litres TOTALS 2024'!L29</f>
        <v>2080</v>
      </c>
      <c r="G59" s="203">
        <f>'[1]Litres TOTALS 2024'!N29</f>
        <v>480</v>
      </c>
      <c r="H59" s="203">
        <v>4</v>
      </c>
      <c r="I59" s="203"/>
      <c r="J59" s="203">
        <v>8</v>
      </c>
      <c r="K59" s="203">
        <v>9</v>
      </c>
      <c r="L59" s="203"/>
      <c r="M59" s="214">
        <f t="shared" si="4"/>
        <v>1348</v>
      </c>
      <c r="N59" s="214"/>
      <c r="O59" s="214"/>
      <c r="P59" s="214"/>
      <c r="Q59" s="214">
        <f>(B59*$B$76)+(C59*$C$76)+(D59*$D$76)+(E59*$E$76)+(F59*$F$76)+(G59*$F$76)</f>
        <v>11627.2</v>
      </c>
      <c r="R59" s="214">
        <f t="shared" si="5"/>
        <v>1350</v>
      </c>
      <c r="S59" s="214">
        <f t="shared" si="6"/>
        <v>14325.2</v>
      </c>
      <c r="T59" s="201"/>
      <c r="U59" s="201"/>
      <c r="W59" s="201"/>
      <c r="Y59" s="201"/>
      <c r="Z59" s="201"/>
      <c r="AB59" s="201"/>
      <c r="AC59" s="201"/>
      <c r="AE59" s="201"/>
    </row>
    <row r="60" spans="1:31" hidden="1">
      <c r="A60" s="351" t="s">
        <v>12</v>
      </c>
      <c r="B60" s="203">
        <f>'[1]Litres TOTALS 2024'!D38</f>
        <v>4120</v>
      </c>
      <c r="C60" s="203">
        <f>'[1]Litres TOTALS 2024'!F38</f>
        <v>3800</v>
      </c>
      <c r="D60" s="203">
        <f>'[1]Litres TOTALS 2024'!H38</f>
        <v>8160</v>
      </c>
      <c r="E60" s="203">
        <f>'[1]Litres TOTALS 2024'!J38</f>
        <v>9020</v>
      </c>
      <c r="F60" s="203">
        <f>'[1]Litres TOTALS 2024'!L38</f>
        <v>7320</v>
      </c>
      <c r="G60" s="203">
        <f>'[1]Litres TOTALS 2024'!N38</f>
        <v>0</v>
      </c>
      <c r="H60" s="203">
        <v>0</v>
      </c>
      <c r="I60" s="203"/>
      <c r="J60" s="203">
        <v>69</v>
      </c>
      <c r="K60" s="203">
        <v>1</v>
      </c>
      <c r="L60" s="203"/>
      <c r="M60" s="214">
        <f t="shared" si="4"/>
        <v>0</v>
      </c>
      <c r="N60" s="214"/>
      <c r="O60" s="214"/>
      <c r="P60" s="214"/>
      <c r="Q60" s="214">
        <f>(B60*$B$77)+(C60*$C$77)+(D60*$D$77)+(E60*$E$77)+(F60*$F$77)+(G60*$F$77)</f>
        <v>18666.400000000001</v>
      </c>
      <c r="R60" s="214">
        <f t="shared" si="5"/>
        <v>150</v>
      </c>
      <c r="S60" s="214">
        <f t="shared" si="6"/>
        <v>18816.400000000001</v>
      </c>
      <c r="T60" s="201"/>
      <c r="U60" s="201"/>
      <c r="W60" s="201"/>
      <c r="Y60" s="201"/>
      <c r="Z60" s="201"/>
      <c r="AB60" s="201"/>
      <c r="AC60" s="201"/>
      <c r="AE60" s="201"/>
    </row>
    <row r="61" spans="1:31" hidden="1">
      <c r="A61" s="351" t="s">
        <v>109</v>
      </c>
      <c r="B61" s="203">
        <f>'[1]Litres TOTALS 2024'!D47</f>
        <v>840</v>
      </c>
      <c r="C61" s="203">
        <f>'[1]Litres TOTALS 2024'!F47</f>
        <v>1200</v>
      </c>
      <c r="D61" s="203">
        <f>'[1]Litres TOTALS 2024'!H47</f>
        <v>960</v>
      </c>
      <c r="E61" s="203">
        <f>'[1]Litres TOTALS 2024'!J47</f>
        <v>1640</v>
      </c>
      <c r="F61" s="203">
        <f>'[1]Litres TOTALS 2024'!L47</f>
        <v>640</v>
      </c>
      <c r="G61" s="203">
        <f>'[1]Litres TOTALS 2024'!N47</f>
        <v>440</v>
      </c>
      <c r="H61" s="203">
        <v>2</v>
      </c>
      <c r="I61" s="203"/>
      <c r="J61" s="203">
        <v>2</v>
      </c>
      <c r="K61" s="203">
        <v>10</v>
      </c>
      <c r="L61" s="203"/>
      <c r="M61" s="214">
        <f t="shared" si="4"/>
        <v>674</v>
      </c>
      <c r="N61" s="214"/>
      <c r="O61" s="214"/>
      <c r="P61" s="214"/>
      <c r="Q61" s="214">
        <f t="shared" ref="Q61:Q69" si="7">(B61*$B$76)+(C61*$C$76)+(D61*$D$76)+(E61*$E$76)+(F61*$F$76)+(G61*$F$76)</f>
        <v>5256.8</v>
      </c>
      <c r="R61" s="214">
        <f t="shared" si="5"/>
        <v>1500</v>
      </c>
      <c r="S61" s="214">
        <f t="shared" si="6"/>
        <v>7430.8</v>
      </c>
      <c r="T61" s="201"/>
      <c r="U61" s="201"/>
      <c r="W61" s="201"/>
      <c r="Y61" s="201"/>
      <c r="Z61" s="201"/>
      <c r="AB61" s="201"/>
      <c r="AC61" s="201"/>
      <c r="AE61" s="201"/>
    </row>
    <row r="62" spans="1:31" hidden="1">
      <c r="A62" s="351" t="s">
        <v>4</v>
      </c>
      <c r="B62" s="203">
        <f>'[1]Litres TOTALS 2024'!D56</f>
        <v>1940</v>
      </c>
      <c r="C62" s="203">
        <f>'[1]Litres TOTALS 2024'!F56</f>
        <v>1320</v>
      </c>
      <c r="D62" s="203">
        <f>'[1]Litres TOTALS 2024'!H56</f>
        <v>2560</v>
      </c>
      <c r="E62" s="203">
        <f>'[1]Litres TOTALS 2024'!J56</f>
        <v>2760</v>
      </c>
      <c r="F62" s="203">
        <f>'[1]Litres TOTALS 2024'!L56</f>
        <v>1480</v>
      </c>
      <c r="G62" s="203">
        <f>'[1]Litres TOTALS 2024'!N56</f>
        <v>440</v>
      </c>
      <c r="H62" s="203">
        <v>1</v>
      </c>
      <c r="I62" s="203"/>
      <c r="J62" s="203">
        <v>3</v>
      </c>
      <c r="K62" s="203">
        <v>2</v>
      </c>
      <c r="L62" s="203"/>
      <c r="M62" s="214">
        <f t="shared" si="4"/>
        <v>337</v>
      </c>
      <c r="N62" s="214"/>
      <c r="O62" s="214"/>
      <c r="P62" s="214"/>
      <c r="Q62" s="214">
        <f t="shared" si="7"/>
        <v>8298.7999999999993</v>
      </c>
      <c r="R62" s="214">
        <f t="shared" si="5"/>
        <v>300</v>
      </c>
      <c r="S62" s="214">
        <f t="shared" si="6"/>
        <v>8935.7999999999993</v>
      </c>
      <c r="T62" s="201"/>
      <c r="U62" s="201"/>
      <c r="W62" s="201"/>
      <c r="Y62" s="201"/>
      <c r="Z62" s="201"/>
      <c r="AB62" s="201"/>
      <c r="AC62" s="201"/>
      <c r="AE62" s="201"/>
    </row>
    <row r="63" spans="1:31" hidden="1">
      <c r="A63" s="351" t="s">
        <v>5</v>
      </c>
      <c r="B63" s="203">
        <f>'[1]Litres TOTALS 2024'!D65</f>
        <v>1300</v>
      </c>
      <c r="C63" s="203">
        <f>'[1]Litres TOTALS 2024'!F65</f>
        <v>940</v>
      </c>
      <c r="D63" s="203">
        <f>'[1]Litres TOTALS 2024'!H65</f>
        <v>1080</v>
      </c>
      <c r="E63" s="203">
        <f>'[1]Litres TOTALS 2024'!J65</f>
        <v>1000</v>
      </c>
      <c r="F63" s="203">
        <f>'[1]Litres TOTALS 2024'!L65</f>
        <v>480</v>
      </c>
      <c r="G63" s="203">
        <f>'[1]Litres TOTALS 2024'!N65</f>
        <v>240</v>
      </c>
      <c r="H63" s="203">
        <v>0</v>
      </c>
      <c r="I63" s="203"/>
      <c r="J63" s="203">
        <v>128</v>
      </c>
      <c r="K63" s="203">
        <v>3</v>
      </c>
      <c r="L63" s="203"/>
      <c r="M63" s="214">
        <f t="shared" si="4"/>
        <v>0</v>
      </c>
      <c r="N63" s="214"/>
      <c r="O63" s="214"/>
      <c r="P63" s="214"/>
      <c r="Q63" s="214">
        <f t="shared" si="7"/>
        <v>4868</v>
      </c>
      <c r="R63" s="214">
        <f t="shared" si="5"/>
        <v>450</v>
      </c>
      <c r="S63" s="214">
        <f t="shared" si="6"/>
        <v>5318</v>
      </c>
      <c r="T63" s="201"/>
      <c r="U63" s="201"/>
      <c r="W63" s="201"/>
      <c r="Y63" s="201"/>
      <c r="Z63" s="201"/>
      <c r="AB63" s="201"/>
      <c r="AC63" s="201"/>
      <c r="AE63" s="201"/>
    </row>
    <row r="64" spans="1:31" hidden="1">
      <c r="A64" s="351" t="s">
        <v>6</v>
      </c>
      <c r="B64" s="203">
        <f>'[1]Litres TOTALS 2024'!D74</f>
        <v>780</v>
      </c>
      <c r="C64" s="203">
        <f>'[1]Litres TOTALS 2024'!F74</f>
        <v>880</v>
      </c>
      <c r="D64" s="203">
        <f>'[1]Litres TOTALS 2024'!H74</f>
        <v>1440</v>
      </c>
      <c r="E64" s="203">
        <f>'[1]Litres TOTALS 2024'!J74</f>
        <v>1240</v>
      </c>
      <c r="F64" s="203">
        <f>'[1]Litres TOTALS 2024'!L74</f>
        <v>480</v>
      </c>
      <c r="G64" s="203">
        <f>'[1]Litres TOTALS 2024'!N74</f>
        <v>40</v>
      </c>
      <c r="H64" s="203">
        <v>0</v>
      </c>
      <c r="I64" s="203"/>
      <c r="J64" s="203">
        <v>3</v>
      </c>
      <c r="K64" s="203">
        <v>0</v>
      </c>
      <c r="L64" s="203"/>
      <c r="M64" s="214">
        <f t="shared" si="4"/>
        <v>0</v>
      </c>
      <c r="N64" s="214"/>
      <c r="O64" s="214"/>
      <c r="P64" s="214"/>
      <c r="Q64" s="214">
        <f t="shared" si="7"/>
        <v>4255.6000000000004</v>
      </c>
      <c r="R64" s="214">
        <f t="shared" si="5"/>
        <v>0</v>
      </c>
      <c r="S64" s="214">
        <f t="shared" si="6"/>
        <v>4255.6000000000004</v>
      </c>
      <c r="T64" s="201"/>
      <c r="U64" s="201"/>
      <c r="W64" s="201"/>
      <c r="Y64" s="201"/>
      <c r="Z64" s="201"/>
      <c r="AB64" s="201"/>
      <c r="AC64" s="201"/>
      <c r="AE64" s="201"/>
    </row>
    <row r="65" spans="1:31" hidden="1">
      <c r="A65" s="351" t="s">
        <v>7</v>
      </c>
      <c r="B65" s="203">
        <f>'[1]Litres TOTALS 2024'!D83</f>
        <v>1320</v>
      </c>
      <c r="C65" s="203">
        <f>'[1]Litres TOTALS 2024'!F83</f>
        <v>3080</v>
      </c>
      <c r="D65" s="203">
        <f>'[1]Litres TOTALS 2024'!H83</f>
        <v>7760</v>
      </c>
      <c r="E65" s="203">
        <v>8440</v>
      </c>
      <c r="F65" s="203">
        <f>'[1]Litres TOTALS 2024'!L83</f>
        <v>2600</v>
      </c>
      <c r="G65" s="203">
        <f>'[1]Litres TOTALS 2024'!N83</f>
        <v>40</v>
      </c>
      <c r="H65" s="203">
        <v>0</v>
      </c>
      <c r="I65" s="203"/>
      <c r="J65" s="203">
        <v>19</v>
      </c>
      <c r="K65" s="203">
        <v>2</v>
      </c>
      <c r="L65" s="203"/>
      <c r="M65" s="214">
        <f t="shared" si="4"/>
        <v>0</v>
      </c>
      <c r="N65" s="214"/>
      <c r="O65" s="214"/>
      <c r="P65" s="214"/>
      <c r="Q65" s="214">
        <f t="shared" si="7"/>
        <v>16230.4</v>
      </c>
      <c r="R65" s="214">
        <f t="shared" si="5"/>
        <v>300</v>
      </c>
      <c r="S65" s="214">
        <f t="shared" si="6"/>
        <v>16530.400000000001</v>
      </c>
      <c r="T65" s="201"/>
      <c r="U65" s="201"/>
      <c r="W65" s="201"/>
      <c r="Y65" s="201"/>
      <c r="Z65" s="201"/>
      <c r="AB65" s="201"/>
      <c r="AC65" s="201"/>
      <c r="AE65" s="201"/>
    </row>
    <row r="66" spans="1:31" hidden="1">
      <c r="A66" s="351" t="s">
        <v>8</v>
      </c>
      <c r="B66" s="203">
        <f>'[1]Litres TOTALS 2024'!D92</f>
        <v>5020</v>
      </c>
      <c r="C66" s="203">
        <f>'[1]Litres TOTALS 2024'!F92</f>
        <v>6000</v>
      </c>
      <c r="D66" s="203">
        <f>'[1]Litres TOTALS 2024'!H92</f>
        <v>6920</v>
      </c>
      <c r="E66" s="203">
        <f>'[1]Litres TOTALS 2024'!J92</f>
        <v>9280</v>
      </c>
      <c r="F66" s="203">
        <f>'[1]Litres TOTALS 2024'!L92</f>
        <v>4280</v>
      </c>
      <c r="G66" s="203">
        <f>'[1]Litres TOTALS 2024'!N92</f>
        <v>440</v>
      </c>
      <c r="H66" s="203">
        <v>8</v>
      </c>
      <c r="I66" s="203"/>
      <c r="J66" s="203">
        <v>48</v>
      </c>
      <c r="K66" s="203">
        <v>3</v>
      </c>
      <c r="L66" s="203"/>
      <c r="M66" s="214">
        <f t="shared" si="4"/>
        <v>2696</v>
      </c>
      <c r="N66" s="214"/>
      <c r="O66" s="214"/>
      <c r="P66" s="214"/>
      <c r="Q66" s="214">
        <f t="shared" si="7"/>
        <v>28292.399999999998</v>
      </c>
      <c r="R66" s="214">
        <f t="shared" si="5"/>
        <v>450</v>
      </c>
      <c r="S66" s="214">
        <f t="shared" si="6"/>
        <v>31438.399999999998</v>
      </c>
      <c r="T66" s="201"/>
      <c r="U66" s="201"/>
      <c r="W66" s="201"/>
      <c r="Y66" s="201"/>
      <c r="Z66" s="201"/>
      <c r="AB66" s="201"/>
      <c r="AC66" s="201"/>
      <c r="AE66" s="201"/>
    </row>
    <row r="67" spans="1:31" hidden="1">
      <c r="A67" s="351" t="s">
        <v>9</v>
      </c>
      <c r="B67" s="203">
        <f>'[1]Litres TOTALS 2024'!D101</f>
        <v>11600</v>
      </c>
      <c r="C67" s="203">
        <f>'[1]Litres TOTALS 2024'!F101</f>
        <v>17140</v>
      </c>
      <c r="D67" s="203">
        <f>'[1]Litres TOTALS 2024'!H101</f>
        <v>17000</v>
      </c>
      <c r="E67" s="203">
        <f>'[1]Litres TOTALS 2024'!J101</f>
        <v>19300</v>
      </c>
      <c r="F67" s="203">
        <f>'[1]Litres TOTALS 2024'!L101</f>
        <v>10640</v>
      </c>
      <c r="G67" s="203">
        <f>'[1]Litres TOTALS 2024'!N101</f>
        <v>800</v>
      </c>
      <c r="H67" s="203">
        <v>7</v>
      </c>
      <c r="I67" s="203"/>
      <c r="J67" s="203">
        <v>54</v>
      </c>
      <c r="K67" s="203">
        <v>4</v>
      </c>
      <c r="L67" s="203"/>
      <c r="M67" s="214">
        <f t="shared" si="4"/>
        <v>2359</v>
      </c>
      <c r="N67" s="214"/>
      <c r="O67" s="214"/>
      <c r="P67" s="214"/>
      <c r="Q67" s="214">
        <f t="shared" si="7"/>
        <v>72670</v>
      </c>
      <c r="R67" s="214">
        <f t="shared" si="5"/>
        <v>600</v>
      </c>
      <c r="S67" s="214">
        <f t="shared" si="6"/>
        <v>75629</v>
      </c>
      <c r="T67" s="201"/>
      <c r="U67" s="201"/>
      <c r="W67" s="201"/>
      <c r="Y67" s="201"/>
      <c r="Z67" s="201"/>
      <c r="AB67" s="201"/>
      <c r="AC67" s="201"/>
      <c r="AE67" s="201"/>
    </row>
    <row r="68" spans="1:31" hidden="1">
      <c r="A68" s="351" t="s">
        <v>10</v>
      </c>
      <c r="B68" s="203">
        <f>'[1]Litres TOTALS 2024'!D110</f>
        <v>3640</v>
      </c>
      <c r="C68" s="203">
        <f>'[1]Litres TOTALS 2024'!F110</f>
        <v>340</v>
      </c>
      <c r="D68" s="203">
        <f>'[1]Litres TOTALS 2024'!H110</f>
        <v>960</v>
      </c>
      <c r="E68" s="203">
        <f>'[1]Litres TOTALS 2024'!J110</f>
        <v>840</v>
      </c>
      <c r="F68" s="203">
        <f>'[1]Litres TOTALS 2024'!L110</f>
        <v>120</v>
      </c>
      <c r="G68" s="203">
        <f>'[1]Litres TOTALS 2024'!N110</f>
        <v>160</v>
      </c>
      <c r="H68" s="203">
        <v>0</v>
      </c>
      <c r="I68" s="203"/>
      <c r="J68" s="203">
        <v>5</v>
      </c>
      <c r="K68" s="203">
        <v>0</v>
      </c>
      <c r="L68" s="203"/>
      <c r="M68" s="214">
        <f t="shared" si="4"/>
        <v>0</v>
      </c>
      <c r="N68" s="214"/>
      <c r="O68" s="214"/>
      <c r="P68" s="214"/>
      <c r="Q68" s="214">
        <f t="shared" si="7"/>
        <v>6054.8</v>
      </c>
      <c r="R68" s="214">
        <f t="shared" si="5"/>
        <v>0</v>
      </c>
      <c r="S68" s="214">
        <f t="shared" si="6"/>
        <v>6054.8</v>
      </c>
      <c r="T68" s="201"/>
      <c r="U68" s="201"/>
      <c r="W68" s="201"/>
      <c r="Y68" s="201"/>
      <c r="Z68" s="201"/>
      <c r="AB68" s="201"/>
      <c r="AC68" s="201"/>
      <c r="AE68" s="201"/>
    </row>
    <row r="69" spans="1:31" hidden="1">
      <c r="A69" s="351" t="s">
        <v>199</v>
      </c>
      <c r="B69" s="203">
        <f>'[1]Litres TOTALS 2024'!D119</f>
        <v>2560</v>
      </c>
      <c r="C69" s="203">
        <f>'[1]Litres TOTALS 2024'!F119</f>
        <v>5780</v>
      </c>
      <c r="D69" s="203">
        <f>'[1]Litres TOTALS 2024'!H119</f>
        <v>8620</v>
      </c>
      <c r="E69" s="203">
        <f>'[1]Litres TOTALS 2024'!J119</f>
        <v>11900</v>
      </c>
      <c r="F69" s="203">
        <f>'[1]Litres TOTALS 2024'!L119</f>
        <v>1960</v>
      </c>
      <c r="G69" s="203">
        <f>'[1]Litres TOTALS 2024'!N119</f>
        <v>760</v>
      </c>
      <c r="H69" s="203">
        <v>2</v>
      </c>
      <c r="I69" s="203"/>
      <c r="J69" s="203">
        <v>32</v>
      </c>
      <c r="K69" s="203">
        <v>3</v>
      </c>
      <c r="L69" s="203"/>
      <c r="M69" s="214">
        <f t="shared" si="4"/>
        <v>674</v>
      </c>
      <c r="N69" s="214"/>
      <c r="O69" s="214"/>
      <c r="P69" s="214"/>
      <c r="Q69" s="214">
        <f t="shared" si="7"/>
        <v>25713.199999999997</v>
      </c>
      <c r="R69" s="214">
        <f t="shared" si="5"/>
        <v>450</v>
      </c>
      <c r="S69" s="214">
        <f t="shared" si="6"/>
        <v>26837.199999999997</v>
      </c>
      <c r="T69" s="201"/>
      <c r="U69" s="201"/>
      <c r="W69" s="201"/>
      <c r="Y69" s="201"/>
      <c r="Z69" s="201"/>
      <c r="AB69" s="201"/>
      <c r="AC69" s="201"/>
      <c r="AE69" s="201"/>
    </row>
    <row r="70" spans="1:31" hidden="1">
      <c r="A70" s="351" t="s">
        <v>200</v>
      </c>
      <c r="B70" s="203">
        <f>'[1]Litres TOTALS 2024'!R119</f>
        <v>1180</v>
      </c>
      <c r="C70" s="203">
        <f>'[1]Litres TOTALS 2024'!T119</f>
        <v>1780</v>
      </c>
      <c r="D70" s="203">
        <f>'[1]Litres TOTALS 2024'!V119</f>
        <v>4400</v>
      </c>
      <c r="E70" s="203">
        <f>'[1]Litres TOTALS 2024'!X119</f>
        <v>3880</v>
      </c>
      <c r="F70" s="203">
        <f>'[1]Litres TOTALS 2024'!Z119</f>
        <v>2040</v>
      </c>
      <c r="G70" s="203">
        <f>'[1]Litres TOTALS 2024'!AB119</f>
        <v>160</v>
      </c>
      <c r="H70" s="203">
        <v>0</v>
      </c>
      <c r="I70" s="203"/>
      <c r="J70" s="204"/>
      <c r="K70" s="204"/>
      <c r="L70" s="204"/>
      <c r="M70" s="214">
        <f t="shared" si="4"/>
        <v>0</v>
      </c>
      <c r="N70" s="214"/>
      <c r="O70" s="214"/>
      <c r="P70" s="214"/>
      <c r="Q70" s="214">
        <f>(B70*$B$77)+(C70*$C$77)+(D70*$D$77)+(E70*$E$77)+(F70*$F$77)+(G70*$F$77)</f>
        <v>7629.5999999999995</v>
      </c>
      <c r="R70" s="214">
        <f t="shared" si="5"/>
        <v>0</v>
      </c>
      <c r="S70" s="214">
        <f t="shared" si="6"/>
        <v>7629.5999999999995</v>
      </c>
      <c r="T70" s="201"/>
      <c r="U70" s="201"/>
      <c r="W70" s="201"/>
      <c r="Y70" s="201"/>
      <c r="Z70" s="201"/>
      <c r="AB70" s="201"/>
      <c r="AC70" s="201"/>
      <c r="AE70" s="201"/>
    </row>
    <row r="71" spans="1:31" hidden="1">
      <c r="A71" s="351" t="s">
        <v>110</v>
      </c>
      <c r="B71" s="203">
        <f>'[1]Litres TOTALS 2024'!D128</f>
        <v>6120</v>
      </c>
      <c r="C71" s="203">
        <f>'[1]Litres TOTALS 2024'!F128</f>
        <v>13380</v>
      </c>
      <c r="D71" s="203">
        <f>'[1]Litres TOTALS 2024'!H128</f>
        <v>16640</v>
      </c>
      <c r="E71" s="203">
        <f>'[1]Litres TOTALS 2024'!J128</f>
        <v>20280</v>
      </c>
      <c r="F71" s="203">
        <f>'[1]Litres TOTALS 2024'!L128</f>
        <v>5200</v>
      </c>
      <c r="G71" s="203">
        <f>'[1]Litres TOTALS 2024'!N128</f>
        <v>1400</v>
      </c>
      <c r="H71" s="203">
        <v>1</v>
      </c>
      <c r="I71" s="203"/>
      <c r="J71" s="203">
        <v>60</v>
      </c>
      <c r="K71" s="203">
        <v>5</v>
      </c>
      <c r="L71" s="203"/>
      <c r="M71" s="214">
        <f t="shared" si="4"/>
        <v>337</v>
      </c>
      <c r="N71" s="214"/>
      <c r="O71" s="214"/>
      <c r="P71" s="214"/>
      <c r="Q71" s="214">
        <f>(B71*$B$76)+(C71*$C$76)+(D71*$D$76)+(E71*$E$76)+(F71*$F$76)+(G71*$F$76)</f>
        <v>55648.399999999994</v>
      </c>
      <c r="R71" s="214">
        <f t="shared" si="5"/>
        <v>750</v>
      </c>
      <c r="S71" s="214">
        <f t="shared" si="6"/>
        <v>56735.399999999994</v>
      </c>
      <c r="T71" s="201"/>
      <c r="U71" s="201"/>
      <c r="W71" s="201"/>
      <c r="Y71" s="201"/>
      <c r="Z71" s="201"/>
      <c r="AB71" s="201"/>
      <c r="AC71" s="201"/>
      <c r="AE71" s="201"/>
    </row>
    <row r="72" spans="1:31" hidden="1">
      <c r="A72" s="398"/>
      <c r="B72" s="399">
        <f t="shared" ref="B72:G72" si="8">SUM(B56:B71)</f>
        <v>52740</v>
      </c>
      <c r="C72" s="399">
        <f t="shared" si="8"/>
        <v>74100</v>
      </c>
      <c r="D72" s="399">
        <f>SUM(D56:D71)</f>
        <v>106520</v>
      </c>
      <c r="E72" s="399">
        <f t="shared" si="8"/>
        <v>118880</v>
      </c>
      <c r="F72" s="399">
        <f t="shared" si="8"/>
        <v>50600</v>
      </c>
      <c r="G72" s="399">
        <f t="shared" si="8"/>
        <v>7080</v>
      </c>
      <c r="H72" s="399"/>
      <c r="I72" s="399"/>
      <c r="J72" s="399"/>
      <c r="K72" s="399"/>
      <c r="L72" s="399"/>
      <c r="M72" s="214">
        <f>SUM(M56:M71)</f>
        <v>11458</v>
      </c>
      <c r="N72" s="214"/>
      <c r="O72" s="214"/>
      <c r="P72" s="214"/>
      <c r="Q72" s="214">
        <f>SUM(Q56:Q71)</f>
        <v>333868.79999999993</v>
      </c>
      <c r="R72" s="214">
        <f>SUM(R56:R71)</f>
        <v>10650</v>
      </c>
      <c r="S72" s="409">
        <f>SUM(S56:S71)</f>
        <v>355976.79999999993</v>
      </c>
      <c r="T72" s="201"/>
      <c r="U72" s="201"/>
      <c r="W72" s="201"/>
      <c r="Y72" s="375"/>
      <c r="Z72" s="373"/>
      <c r="AE72" s="201"/>
    </row>
    <row r="73" spans="1:31" hidden="1">
      <c r="A73" s="398" t="s">
        <v>191</v>
      </c>
      <c r="B73" s="400"/>
      <c r="C73" s="400"/>
      <c r="D73" s="401">
        <f>D72/(D72+E72+F72)</f>
        <v>0.38594202898550722</v>
      </c>
      <c r="E73" s="401">
        <f>E72/(D72+E72+F72)</f>
        <v>0.43072463768115943</v>
      </c>
      <c r="F73" s="401">
        <f>F72/(D72+E72+F72)</f>
        <v>0.18333333333333332</v>
      </c>
      <c r="G73" s="400"/>
      <c r="J73" s="399"/>
      <c r="K73" s="399"/>
      <c r="L73" s="399"/>
      <c r="M73" s="201"/>
      <c r="N73" s="201"/>
      <c r="O73" s="201"/>
      <c r="P73" s="201"/>
      <c r="Q73" s="201"/>
      <c r="R73" s="201"/>
      <c r="T73" s="201"/>
      <c r="Y73" s="364"/>
    </row>
    <row r="74" spans="1:31" hidden="1">
      <c r="A74" s="398" t="s">
        <v>191</v>
      </c>
      <c r="B74" s="400">
        <f>B72</f>
        <v>52740</v>
      </c>
      <c r="C74" s="400">
        <f>C72</f>
        <v>74100</v>
      </c>
      <c r="D74" s="400">
        <f>D72+G72*D73</f>
        <v>109252.4695652174</v>
      </c>
      <c r="E74" s="400">
        <f>E72+G72*E73</f>
        <v>121929.5304347826</v>
      </c>
      <c r="F74" s="400">
        <f>F72+G72*F73</f>
        <v>51898</v>
      </c>
      <c r="G74" s="400"/>
      <c r="Q74" s="292" t="e">
        <f>V29-M72-#REF!</f>
        <v>#REF!</v>
      </c>
      <c r="R74" s="292"/>
      <c r="Y74" s="364"/>
    </row>
    <row r="75" spans="1:31" hidden="1">
      <c r="A75" s="398" t="s">
        <v>192</v>
      </c>
      <c r="B75" s="402" t="e">
        <f>Q74*20%/B74</f>
        <v>#REF!</v>
      </c>
      <c r="C75" s="401" t="e">
        <f>Q74*50%/C74</f>
        <v>#REF!</v>
      </c>
      <c r="D75" s="401" t="e">
        <f>Q74*10%/D74</f>
        <v>#REF!</v>
      </c>
      <c r="E75" s="401" t="e">
        <f>Q74*10%/E74</f>
        <v>#REF!</v>
      </c>
      <c r="F75" s="401" t="e">
        <f>Q74*10%/F74</f>
        <v>#REF!</v>
      </c>
      <c r="G75" s="354"/>
      <c r="Q75" s="292"/>
      <c r="R75" s="292"/>
      <c r="X75" s="373"/>
    </row>
    <row r="76" spans="1:31" hidden="1">
      <c r="A76" s="410" t="s">
        <v>201</v>
      </c>
      <c r="B76" s="401">
        <v>1.22</v>
      </c>
      <c r="C76" s="401">
        <v>2.2999999999999998</v>
      </c>
      <c r="D76" s="401">
        <v>0.4</v>
      </c>
      <c r="E76" s="401">
        <v>0.4</v>
      </c>
      <c r="F76" s="401">
        <v>0.4</v>
      </c>
      <c r="G76" s="354"/>
    </row>
    <row r="77" spans="1:31" hidden="1">
      <c r="A77" s="410" t="s">
        <v>202</v>
      </c>
      <c r="B77" s="401">
        <f>B76</f>
        <v>1.22</v>
      </c>
      <c r="C77" s="401">
        <f>C76</f>
        <v>2.2999999999999998</v>
      </c>
      <c r="D77" s="401">
        <f>D76/2</f>
        <v>0.2</v>
      </c>
      <c r="E77" s="401">
        <f>E76/2</f>
        <v>0.2</v>
      </c>
      <c r="F77" s="401">
        <f>F76/2</f>
        <v>0.2</v>
      </c>
      <c r="G77" s="354"/>
    </row>
    <row r="78" spans="1:31" hidden="1">
      <c r="B78" s="403">
        <f>B76*B74</f>
        <v>64342.799999999996</v>
      </c>
      <c r="C78" s="403">
        <f>C76*C74</f>
        <v>170430</v>
      </c>
      <c r="D78" s="403">
        <f>D76*D74</f>
        <v>43700.987826086959</v>
      </c>
      <c r="E78" s="403">
        <f>E76*E74</f>
        <v>48771.812173913044</v>
      </c>
      <c r="F78" s="403">
        <f>F76*F74</f>
        <v>20759.2</v>
      </c>
      <c r="G78" s="403">
        <f>SUM(B78:F78)</f>
        <v>348004.80000000005</v>
      </c>
    </row>
    <row r="79" spans="1:31" hidden="1"/>
    <row r="80" spans="1:31" hidden="1"/>
    <row r="81" spans="1:23" hidden="1"/>
    <row r="82" spans="1:23" hidden="1"/>
    <row r="83" spans="1:23" ht="32" hidden="1">
      <c r="A83" s="411" t="s">
        <v>378</v>
      </c>
      <c r="B83" s="412" t="s">
        <v>179</v>
      </c>
      <c r="C83" s="413" t="s">
        <v>180</v>
      </c>
      <c r="D83" s="414" t="s">
        <v>181</v>
      </c>
      <c r="E83" s="415" t="s">
        <v>182</v>
      </c>
      <c r="F83" s="416" t="s">
        <v>183</v>
      </c>
      <c r="G83" s="417" t="s">
        <v>184</v>
      </c>
      <c r="H83" s="418"/>
      <c r="I83" s="418" t="s">
        <v>185</v>
      </c>
      <c r="J83" s="418"/>
      <c r="K83" s="418"/>
      <c r="L83" s="418" t="s">
        <v>382</v>
      </c>
      <c r="M83" s="419" t="s">
        <v>188</v>
      </c>
      <c r="N83" s="419" t="s">
        <v>187</v>
      </c>
      <c r="O83" s="419" t="s">
        <v>385</v>
      </c>
      <c r="P83" s="419" t="s">
        <v>360</v>
      </c>
      <c r="Q83" s="323" t="s">
        <v>189</v>
      </c>
      <c r="R83" s="220"/>
      <c r="S83" s="323" t="s">
        <v>396</v>
      </c>
      <c r="V83" s="323" t="s">
        <v>383</v>
      </c>
      <c r="W83" s="420">
        <v>167</v>
      </c>
    </row>
    <row r="84" spans="1:23" ht="21" hidden="1">
      <c r="A84" s="421" t="s">
        <v>196</v>
      </c>
      <c r="B84" s="321">
        <v>2400</v>
      </c>
      <c r="C84" s="321">
        <v>4460</v>
      </c>
      <c r="D84" s="321">
        <v>9200</v>
      </c>
      <c r="E84" s="321">
        <v>9240</v>
      </c>
      <c r="F84" s="321">
        <v>3720</v>
      </c>
      <c r="G84" s="321">
        <v>0</v>
      </c>
      <c r="H84" s="321"/>
      <c r="I84" s="321">
        <v>4</v>
      </c>
      <c r="J84" s="321"/>
      <c r="K84" s="321"/>
      <c r="L84" s="321">
        <v>122</v>
      </c>
      <c r="M84" s="422">
        <v>17693</v>
      </c>
      <c r="N84" s="422">
        <f>I84*$W$84</f>
        <v>1348</v>
      </c>
      <c r="O84" s="422">
        <v>20374</v>
      </c>
      <c r="P84" s="422">
        <v>5843.5999999999985</v>
      </c>
      <c r="Q84" s="423">
        <f>SUM(M84:P84)</f>
        <v>45258.6</v>
      </c>
      <c r="R84" s="291"/>
      <c r="S84" s="292">
        <f>M84+P84</f>
        <v>23536.6</v>
      </c>
      <c r="V84" s="323" t="s">
        <v>384</v>
      </c>
      <c r="W84" s="420">
        <v>337</v>
      </c>
    </row>
    <row r="85" spans="1:23" hidden="1">
      <c r="A85" s="421" t="s">
        <v>197</v>
      </c>
      <c r="B85" s="321">
        <v>6180</v>
      </c>
      <c r="C85" s="321">
        <v>8720</v>
      </c>
      <c r="D85" s="321">
        <v>10600</v>
      </c>
      <c r="E85" s="321">
        <v>11760</v>
      </c>
      <c r="F85" s="321">
        <v>5240</v>
      </c>
      <c r="G85" s="321">
        <v>1560</v>
      </c>
      <c r="H85" s="321"/>
      <c r="I85" s="321">
        <v>5</v>
      </c>
      <c r="J85" s="321"/>
      <c r="K85" s="321"/>
      <c r="L85" s="321">
        <v>81</v>
      </c>
      <c r="M85" s="424">
        <v>55069.4</v>
      </c>
      <c r="N85" s="422">
        <f t="shared" ref="N85:N98" si="9">I85*$W$84</f>
        <v>1685</v>
      </c>
      <c r="O85" s="422">
        <v>13527</v>
      </c>
      <c r="P85" s="425">
        <v>10748.2</v>
      </c>
      <c r="Q85" s="423">
        <f>SUM(M85:P85)</f>
        <v>81029.599999999991</v>
      </c>
      <c r="R85" s="291"/>
      <c r="S85" s="292">
        <f>40144.6+P85</f>
        <v>50892.800000000003</v>
      </c>
      <c r="V85" s="426"/>
      <c r="W85" s="220"/>
    </row>
    <row r="86" spans="1:23" hidden="1">
      <c r="A86" s="421" t="s">
        <v>198</v>
      </c>
      <c r="B86" s="321">
        <v>1780</v>
      </c>
      <c r="C86" s="321">
        <v>3000</v>
      </c>
      <c r="D86" s="321">
        <v>6080</v>
      </c>
      <c r="E86" s="321">
        <v>5020</v>
      </c>
      <c r="F86" s="321">
        <v>2320</v>
      </c>
      <c r="G86" s="321">
        <v>120</v>
      </c>
      <c r="H86" s="321"/>
      <c r="I86" s="427"/>
      <c r="J86" s="427"/>
      <c r="K86" s="427"/>
      <c r="L86" s="427"/>
      <c r="M86" s="425"/>
      <c r="N86" s="422"/>
      <c r="O86" s="422"/>
      <c r="P86" s="425"/>
      <c r="Q86" s="423"/>
      <c r="R86" s="291"/>
      <c r="S86" s="292">
        <v>14924.8</v>
      </c>
      <c r="V86" s="426"/>
      <c r="W86" s="220"/>
    </row>
    <row r="87" spans="1:23" hidden="1">
      <c r="A87" s="421" t="s">
        <v>2</v>
      </c>
      <c r="B87" s="321">
        <v>1960</v>
      </c>
      <c r="C87" s="321">
        <v>2280</v>
      </c>
      <c r="D87" s="321">
        <v>4140</v>
      </c>
      <c r="E87" s="321">
        <v>3280</v>
      </c>
      <c r="F87" s="321">
        <v>2080</v>
      </c>
      <c r="G87" s="321">
        <v>480</v>
      </c>
      <c r="H87" s="321"/>
      <c r="I87" s="321">
        <v>4</v>
      </c>
      <c r="J87" s="321"/>
      <c r="K87" s="321"/>
      <c r="L87" s="321">
        <v>14</v>
      </c>
      <c r="M87" s="422">
        <v>12597.2</v>
      </c>
      <c r="N87" s="422">
        <f t="shared" si="9"/>
        <v>1348</v>
      </c>
      <c r="O87" s="422">
        <v>2338</v>
      </c>
      <c r="P87" s="422">
        <v>3151.2</v>
      </c>
      <c r="Q87" s="423">
        <f t="shared" ref="Q87:Q96" si="10">SUM(M87:P87)</f>
        <v>19434.400000000001</v>
      </c>
      <c r="R87" s="291"/>
      <c r="S87" s="292">
        <f t="shared" ref="S87:S95" si="11">M87+P87</f>
        <v>15748.400000000001</v>
      </c>
      <c r="V87" s="220"/>
      <c r="W87" s="220"/>
    </row>
    <row r="88" spans="1:23" hidden="1">
      <c r="A88" s="421" t="s">
        <v>12</v>
      </c>
      <c r="B88" s="321">
        <v>4120</v>
      </c>
      <c r="C88" s="321">
        <v>3800</v>
      </c>
      <c r="D88" s="321">
        <v>8160</v>
      </c>
      <c r="E88" s="321">
        <v>9020</v>
      </c>
      <c r="F88" s="321">
        <v>7320</v>
      </c>
      <c r="G88" s="321">
        <v>0</v>
      </c>
      <c r="H88" s="321"/>
      <c r="I88" s="321">
        <v>0</v>
      </c>
      <c r="J88" s="321"/>
      <c r="K88" s="321"/>
      <c r="L88" s="321">
        <v>70</v>
      </c>
      <c r="M88" s="422">
        <v>18693.400000000001</v>
      </c>
      <c r="N88" s="422">
        <f t="shared" si="9"/>
        <v>0</v>
      </c>
      <c r="O88" s="422">
        <v>11690</v>
      </c>
      <c r="P88" s="422">
        <v>2311.1999999999998</v>
      </c>
      <c r="Q88" s="423">
        <f t="shared" si="10"/>
        <v>32694.600000000002</v>
      </c>
      <c r="R88" s="291"/>
      <c r="S88" s="292">
        <f t="shared" si="11"/>
        <v>21004.600000000002</v>
      </c>
      <c r="V88" s="291"/>
      <c r="W88" s="220"/>
    </row>
    <row r="89" spans="1:23" hidden="1">
      <c r="A89" s="421" t="s">
        <v>109</v>
      </c>
      <c r="B89" s="321">
        <v>840</v>
      </c>
      <c r="C89" s="321">
        <v>1200</v>
      </c>
      <c r="D89" s="321">
        <v>960</v>
      </c>
      <c r="E89" s="321">
        <v>1640</v>
      </c>
      <c r="F89" s="321">
        <v>640</v>
      </c>
      <c r="G89" s="321">
        <v>440</v>
      </c>
      <c r="H89" s="321"/>
      <c r="I89" s="321">
        <v>2</v>
      </c>
      <c r="J89" s="321"/>
      <c r="K89" s="321"/>
      <c r="L89" s="321">
        <v>4</v>
      </c>
      <c r="M89" s="422">
        <v>7946.1999999999989</v>
      </c>
      <c r="N89" s="422">
        <f t="shared" si="9"/>
        <v>674</v>
      </c>
      <c r="O89" s="422">
        <v>668</v>
      </c>
      <c r="P89" s="422">
        <v>2749.7999999999997</v>
      </c>
      <c r="Q89" s="423">
        <f t="shared" si="10"/>
        <v>12037.999999999998</v>
      </c>
      <c r="R89" s="291"/>
      <c r="S89" s="292">
        <f t="shared" si="11"/>
        <v>10695.999999999998</v>
      </c>
      <c r="V89" s="291"/>
      <c r="W89" s="220"/>
    </row>
    <row r="90" spans="1:23" hidden="1">
      <c r="A90" s="421" t="s">
        <v>4</v>
      </c>
      <c r="B90" s="321">
        <v>1940</v>
      </c>
      <c r="C90" s="321">
        <v>1320</v>
      </c>
      <c r="D90" s="321">
        <v>2560</v>
      </c>
      <c r="E90" s="321">
        <v>2760</v>
      </c>
      <c r="F90" s="321">
        <v>1480</v>
      </c>
      <c r="G90" s="321">
        <v>440</v>
      </c>
      <c r="H90" s="321"/>
      <c r="I90" s="321">
        <v>1</v>
      </c>
      <c r="J90" s="321"/>
      <c r="K90" s="321"/>
      <c r="L90" s="321">
        <v>3</v>
      </c>
      <c r="M90" s="422">
        <v>10996.6</v>
      </c>
      <c r="N90" s="422">
        <v>0</v>
      </c>
      <c r="O90" s="422">
        <v>501</v>
      </c>
      <c r="P90" s="422">
        <v>2309.2000000000003</v>
      </c>
      <c r="Q90" s="423">
        <f t="shared" si="10"/>
        <v>13806.800000000001</v>
      </c>
      <c r="R90" s="428"/>
      <c r="S90" s="292">
        <f t="shared" si="11"/>
        <v>13305.800000000001</v>
      </c>
      <c r="V90" s="291"/>
      <c r="W90" s="220"/>
    </row>
    <row r="91" spans="1:23" hidden="1">
      <c r="A91" s="421" t="s">
        <v>5</v>
      </c>
      <c r="B91" s="321">
        <v>1300</v>
      </c>
      <c r="C91" s="321">
        <v>940</v>
      </c>
      <c r="D91" s="321">
        <v>1080</v>
      </c>
      <c r="E91" s="321">
        <v>1000</v>
      </c>
      <c r="F91" s="321">
        <v>480</v>
      </c>
      <c r="G91" s="321">
        <v>240</v>
      </c>
      <c r="H91" s="321"/>
      <c r="I91" s="321">
        <v>0</v>
      </c>
      <c r="J91" s="321"/>
      <c r="K91" s="321"/>
      <c r="L91" s="321">
        <v>130</v>
      </c>
      <c r="M91" s="422">
        <v>5390.2</v>
      </c>
      <c r="N91" s="422">
        <f t="shared" si="9"/>
        <v>0</v>
      </c>
      <c r="O91" s="422">
        <v>21710</v>
      </c>
      <c r="P91" s="422">
        <v>7462.2000000000007</v>
      </c>
      <c r="Q91" s="423">
        <f t="shared" si="10"/>
        <v>34562.400000000001</v>
      </c>
      <c r="R91" s="291"/>
      <c r="S91" s="292">
        <f t="shared" si="11"/>
        <v>12852.400000000001</v>
      </c>
      <c r="V91" s="291"/>
      <c r="W91" s="220"/>
    </row>
    <row r="92" spans="1:23" hidden="1">
      <c r="A92" s="421" t="s">
        <v>6</v>
      </c>
      <c r="B92" s="321">
        <v>780</v>
      </c>
      <c r="C92" s="321">
        <v>880</v>
      </c>
      <c r="D92" s="321">
        <v>1440</v>
      </c>
      <c r="E92" s="321">
        <v>1240</v>
      </c>
      <c r="F92" s="321">
        <v>480</v>
      </c>
      <c r="G92" s="321">
        <v>40</v>
      </c>
      <c r="H92" s="321"/>
      <c r="I92" s="321">
        <v>0</v>
      </c>
      <c r="J92" s="321"/>
      <c r="K92" s="321"/>
      <c r="L92" s="321">
        <v>4</v>
      </c>
      <c r="M92" s="422">
        <v>4712.8</v>
      </c>
      <c r="N92" s="422">
        <f t="shared" si="9"/>
        <v>0</v>
      </c>
      <c r="O92" s="422">
        <v>668</v>
      </c>
      <c r="P92" s="425">
        <v>334</v>
      </c>
      <c r="Q92" s="423">
        <f t="shared" si="10"/>
        <v>5714.8</v>
      </c>
      <c r="R92" s="291"/>
      <c r="S92" s="292">
        <f t="shared" si="11"/>
        <v>5046.8</v>
      </c>
      <c r="V92" s="291"/>
      <c r="W92" s="220"/>
    </row>
    <row r="93" spans="1:23" hidden="1">
      <c r="A93" s="421" t="s">
        <v>8</v>
      </c>
      <c r="B93" s="321">
        <v>5020</v>
      </c>
      <c r="C93" s="321">
        <v>6000</v>
      </c>
      <c r="D93" s="321">
        <v>6920</v>
      </c>
      <c r="E93" s="321">
        <v>9280</v>
      </c>
      <c r="F93" s="321">
        <v>4280</v>
      </c>
      <c r="G93" s="321">
        <v>440</v>
      </c>
      <c r="H93" s="321"/>
      <c r="I93" s="321">
        <v>8</v>
      </c>
      <c r="J93" s="321"/>
      <c r="K93" s="321"/>
      <c r="L93" s="321">
        <v>68</v>
      </c>
      <c r="M93" s="422">
        <v>28845.000000000007</v>
      </c>
      <c r="N93" s="422">
        <f t="shared" si="9"/>
        <v>2696</v>
      </c>
      <c r="O93" s="422">
        <v>11356</v>
      </c>
      <c r="P93" s="425">
        <v>11231.8</v>
      </c>
      <c r="Q93" s="423">
        <f t="shared" si="10"/>
        <v>54128.800000000003</v>
      </c>
      <c r="R93" s="429"/>
      <c r="S93" s="292">
        <f t="shared" si="11"/>
        <v>40076.800000000003</v>
      </c>
      <c r="V93" s="429"/>
      <c r="W93" s="220"/>
    </row>
    <row r="94" spans="1:23" hidden="1">
      <c r="A94" s="421" t="s">
        <v>9</v>
      </c>
      <c r="B94" s="321">
        <v>11600</v>
      </c>
      <c r="C94" s="321">
        <v>17140</v>
      </c>
      <c r="D94" s="321">
        <v>17000</v>
      </c>
      <c r="E94" s="321">
        <v>19300</v>
      </c>
      <c r="F94" s="321">
        <v>10640</v>
      </c>
      <c r="G94" s="321">
        <v>800</v>
      </c>
      <c r="H94" s="321"/>
      <c r="I94" s="321">
        <v>7</v>
      </c>
      <c r="J94" s="321"/>
      <c r="K94" s="321"/>
      <c r="L94" s="321">
        <v>52</v>
      </c>
      <c r="M94" s="422">
        <v>59552.200000000041</v>
      </c>
      <c r="N94" s="422">
        <v>2696</v>
      </c>
      <c r="O94" s="422">
        <v>8684</v>
      </c>
      <c r="P94" s="422">
        <v>9826.8000000000011</v>
      </c>
      <c r="Q94" s="423">
        <f t="shared" si="10"/>
        <v>80759.000000000044</v>
      </c>
      <c r="R94" s="291"/>
      <c r="S94" s="292">
        <f t="shared" si="11"/>
        <v>69379.000000000044</v>
      </c>
      <c r="V94" s="291"/>
      <c r="W94" s="220"/>
    </row>
    <row r="95" spans="1:23" hidden="1">
      <c r="A95" s="421" t="s">
        <v>10</v>
      </c>
      <c r="B95" s="321">
        <v>3640</v>
      </c>
      <c r="C95" s="321">
        <v>340</v>
      </c>
      <c r="D95" s="321">
        <v>960</v>
      </c>
      <c r="E95" s="321">
        <v>840</v>
      </c>
      <c r="F95" s="321">
        <v>120</v>
      </c>
      <c r="G95" s="321">
        <v>160</v>
      </c>
      <c r="H95" s="321"/>
      <c r="I95" s="321">
        <v>0</v>
      </c>
      <c r="J95" s="321"/>
      <c r="K95" s="321"/>
      <c r="L95" s="321">
        <v>4</v>
      </c>
      <c r="M95" s="422">
        <v>1443.6</v>
      </c>
      <c r="N95" s="422">
        <f t="shared" si="9"/>
        <v>0</v>
      </c>
      <c r="O95" s="422">
        <v>668</v>
      </c>
      <c r="P95" s="425">
        <v>922.4</v>
      </c>
      <c r="Q95" s="423">
        <f t="shared" si="10"/>
        <v>3034</v>
      </c>
      <c r="R95" s="291"/>
      <c r="S95" s="292">
        <f t="shared" si="11"/>
        <v>2366</v>
      </c>
      <c r="V95" s="291"/>
      <c r="W95" s="220"/>
    </row>
    <row r="96" spans="1:23" hidden="1">
      <c r="A96" s="421" t="s">
        <v>199</v>
      </c>
      <c r="B96" s="321">
        <v>2560</v>
      </c>
      <c r="C96" s="321">
        <v>5780</v>
      </c>
      <c r="D96" s="321">
        <v>8620</v>
      </c>
      <c r="E96" s="321">
        <v>11900</v>
      </c>
      <c r="F96" s="321">
        <v>1960</v>
      </c>
      <c r="G96" s="321">
        <v>760</v>
      </c>
      <c r="H96" s="321"/>
      <c r="I96" s="321">
        <v>2</v>
      </c>
      <c r="J96" s="321"/>
      <c r="K96" s="321"/>
      <c r="L96" s="321">
        <v>44</v>
      </c>
      <c r="M96" s="422">
        <v>36378.200000000004</v>
      </c>
      <c r="N96" s="422">
        <f t="shared" si="9"/>
        <v>674</v>
      </c>
      <c r="O96" s="422">
        <v>7348</v>
      </c>
      <c r="P96" s="425">
        <v>8144.4000000000005</v>
      </c>
      <c r="Q96" s="423">
        <f t="shared" si="10"/>
        <v>52544.600000000006</v>
      </c>
      <c r="R96" s="291"/>
      <c r="S96" s="292">
        <f>31146.4+P96</f>
        <v>39290.800000000003</v>
      </c>
      <c r="V96" s="291"/>
      <c r="W96" s="220"/>
    </row>
    <row r="97" spans="1:23" hidden="1">
      <c r="A97" s="421" t="s">
        <v>200</v>
      </c>
      <c r="B97" s="321">
        <v>1180</v>
      </c>
      <c r="C97" s="321">
        <v>1780</v>
      </c>
      <c r="D97" s="321">
        <v>4400</v>
      </c>
      <c r="E97" s="321">
        <v>3880</v>
      </c>
      <c r="F97" s="321">
        <v>2040</v>
      </c>
      <c r="G97" s="321">
        <v>160</v>
      </c>
      <c r="H97" s="321"/>
      <c r="I97" s="427"/>
      <c r="J97" s="427"/>
      <c r="K97" s="427"/>
      <c r="L97" s="427"/>
      <c r="M97" s="425"/>
      <c r="N97" s="422"/>
      <c r="O97" s="422"/>
      <c r="P97" s="425"/>
      <c r="Q97" s="423"/>
      <c r="R97" s="291"/>
      <c r="S97" s="292">
        <v>5231.8</v>
      </c>
      <c r="V97" s="291"/>
      <c r="W97" s="220"/>
    </row>
    <row r="98" spans="1:23" ht="13" hidden="1" thickBot="1">
      <c r="A98" s="421" t="s">
        <v>110</v>
      </c>
      <c r="B98" s="321">
        <v>6120</v>
      </c>
      <c r="C98" s="321">
        <v>13380</v>
      </c>
      <c r="D98" s="321">
        <v>16640</v>
      </c>
      <c r="E98" s="321">
        <v>20280</v>
      </c>
      <c r="F98" s="321">
        <v>5200</v>
      </c>
      <c r="G98" s="321">
        <v>1400</v>
      </c>
      <c r="H98" s="321"/>
      <c r="I98" s="321">
        <v>1</v>
      </c>
      <c r="J98" s="321"/>
      <c r="K98" s="321"/>
      <c r="L98" s="321">
        <v>77</v>
      </c>
      <c r="M98" s="422">
        <v>59765.000000000036</v>
      </c>
      <c r="N98" s="422">
        <f t="shared" si="9"/>
        <v>337</v>
      </c>
      <c r="O98" s="422">
        <v>12859</v>
      </c>
      <c r="P98" s="425">
        <v>18827.8</v>
      </c>
      <c r="Q98" s="423">
        <f>SUM(M98:P98)</f>
        <v>91788.800000000032</v>
      </c>
      <c r="R98" s="291"/>
      <c r="S98" s="292">
        <f>M98+P98</f>
        <v>78592.800000000032</v>
      </c>
      <c r="V98" s="374"/>
      <c r="W98" s="220"/>
    </row>
    <row r="99" spans="1:23" ht="13" hidden="1" thickBot="1">
      <c r="A99" s="410"/>
      <c r="B99" s="430">
        <v>52740</v>
      </c>
      <c r="C99" s="430">
        <v>74100</v>
      </c>
      <c r="D99" s="430">
        <v>106520</v>
      </c>
      <c r="E99" s="430">
        <v>118880</v>
      </c>
      <c r="F99" s="430">
        <v>50600</v>
      </c>
      <c r="G99" s="430">
        <v>7080</v>
      </c>
      <c r="H99" s="430"/>
      <c r="I99" s="430">
        <f>SUM(I84:I98)</f>
        <v>34</v>
      </c>
      <c r="J99" s="430"/>
      <c r="K99" s="430"/>
      <c r="L99" s="430">
        <f t="shared" ref="L99:Q99" si="12">SUM(L84:L98)</f>
        <v>673</v>
      </c>
      <c r="M99" s="431">
        <f t="shared" si="12"/>
        <v>319082.8000000001</v>
      </c>
      <c r="N99" s="431">
        <f t="shared" si="12"/>
        <v>11458</v>
      </c>
      <c r="O99" s="431">
        <f t="shared" si="12"/>
        <v>112391</v>
      </c>
      <c r="P99" s="431">
        <f t="shared" si="12"/>
        <v>83862.600000000006</v>
      </c>
      <c r="Q99" s="432">
        <f t="shared" si="12"/>
        <v>526794.4</v>
      </c>
      <c r="R99" s="433" t="s">
        <v>379</v>
      </c>
      <c r="S99" s="292">
        <f>M99+P99</f>
        <v>402945.40000000014</v>
      </c>
      <c r="V99" s="374"/>
      <c r="W99" s="220"/>
    </row>
    <row r="100" spans="1:23" ht="13" hidden="1" thickBot="1">
      <c r="A100" s="410" t="s">
        <v>191</v>
      </c>
      <c r="B100" s="434"/>
      <c r="C100" s="434"/>
      <c r="D100" s="435">
        <v>0.38594202898550722</v>
      </c>
      <c r="E100" s="435">
        <v>0.43072463768115943</v>
      </c>
      <c r="F100" s="435">
        <v>0.18333333333333332</v>
      </c>
      <c r="G100" s="434"/>
      <c r="H100" s="436"/>
      <c r="I100" s="436"/>
      <c r="J100" s="430"/>
      <c r="K100" s="430"/>
      <c r="L100" s="430"/>
      <c r="M100" s="374"/>
      <c r="N100" s="374"/>
      <c r="O100" s="374"/>
      <c r="P100" s="374"/>
      <c r="Q100" s="293">
        <f>Q99-P99</f>
        <v>442931.80000000005</v>
      </c>
      <c r="R100" s="437" t="s">
        <v>380</v>
      </c>
      <c r="S100" s="292"/>
      <c r="V100" s="220"/>
      <c r="W100" s="220"/>
    </row>
    <row r="101" spans="1:23" hidden="1">
      <c r="A101" s="410" t="s">
        <v>191</v>
      </c>
      <c r="B101" s="434">
        <v>52740</v>
      </c>
      <c r="C101" s="434">
        <v>74100</v>
      </c>
      <c r="D101" s="434">
        <v>109252.4695652174</v>
      </c>
      <c r="E101" s="434">
        <v>121929.5304347826</v>
      </c>
      <c r="F101" s="434">
        <v>51898</v>
      </c>
      <c r="G101" s="434"/>
      <c r="H101" s="436"/>
      <c r="I101" s="438">
        <f>I99*W84</f>
        <v>11458</v>
      </c>
      <c r="J101" s="436"/>
      <c r="K101" s="436"/>
      <c r="L101" s="438">
        <f>L99*W83</f>
        <v>112391</v>
      </c>
      <c r="M101" s="439"/>
      <c r="N101" s="439"/>
      <c r="O101" s="439"/>
      <c r="P101" s="439"/>
      <c r="Q101" s="220"/>
      <c r="R101" s="440"/>
      <c r="S101" s="440"/>
      <c r="T101" s="436"/>
      <c r="U101" s="220"/>
      <c r="V101" s="220"/>
      <c r="W101" s="220"/>
    </row>
    <row r="102" spans="1:23" hidden="1">
      <c r="A102" s="410" t="s">
        <v>192</v>
      </c>
      <c r="B102" s="441">
        <v>1.1963189609404725</v>
      </c>
      <c r="C102" s="435">
        <v>2.1286728070175616</v>
      </c>
      <c r="D102" s="435">
        <v>0.28875256665176408</v>
      </c>
      <c r="E102" s="435">
        <v>0.25873084959409415</v>
      </c>
      <c r="F102" s="435">
        <v>0.60786409880920778</v>
      </c>
      <c r="G102" s="442"/>
      <c r="H102" s="436"/>
      <c r="I102" s="436"/>
      <c r="J102" s="436"/>
      <c r="K102" s="436"/>
      <c r="L102" s="436"/>
      <c r="M102" s="439"/>
      <c r="N102" s="439"/>
      <c r="O102" s="439"/>
      <c r="P102" s="439"/>
      <c r="Q102" s="220"/>
      <c r="R102" s="440"/>
      <c r="S102" s="440"/>
      <c r="T102" s="436"/>
      <c r="U102" s="220"/>
      <c r="V102" s="220"/>
      <c r="W102" s="220"/>
    </row>
    <row r="103" spans="1:23" hidden="1">
      <c r="A103" s="410" t="s">
        <v>201</v>
      </c>
      <c r="B103" s="435">
        <v>1.22</v>
      </c>
      <c r="C103" s="435">
        <v>2.2999999999999998</v>
      </c>
      <c r="D103" s="435">
        <v>0.4</v>
      </c>
      <c r="E103" s="435">
        <v>0.4</v>
      </c>
      <c r="F103" s="435">
        <v>0.4</v>
      </c>
      <c r="G103" s="442"/>
      <c r="H103" s="436"/>
      <c r="I103" s="436"/>
      <c r="J103" s="436"/>
      <c r="K103" s="436"/>
      <c r="L103" s="436"/>
      <c r="M103" s="439"/>
      <c r="N103" s="439"/>
      <c r="O103" s="439"/>
      <c r="P103" s="439"/>
      <c r="Q103" s="220"/>
      <c r="R103" s="220"/>
      <c r="S103" s="220"/>
      <c r="T103" s="436"/>
      <c r="U103" s="220"/>
      <c r="V103" s="220"/>
      <c r="W103" s="220"/>
    </row>
    <row r="104" spans="1:23" hidden="1">
      <c r="A104" s="410" t="s">
        <v>202</v>
      </c>
      <c r="B104" s="435">
        <v>1.22</v>
      </c>
      <c r="C104" s="435">
        <v>2.2999999999999998</v>
      </c>
      <c r="D104" s="435">
        <v>0.2</v>
      </c>
      <c r="E104" s="435">
        <v>0.2</v>
      </c>
      <c r="F104" s="435">
        <v>0.2</v>
      </c>
      <c r="G104" s="442"/>
      <c r="H104" s="436"/>
      <c r="I104" s="436"/>
      <c r="J104" s="436"/>
      <c r="K104" s="436"/>
      <c r="L104" s="436"/>
      <c r="M104" s="439"/>
      <c r="N104" s="439"/>
      <c r="O104" s="439"/>
      <c r="P104" s="439"/>
      <c r="Q104" s="220"/>
      <c r="R104" s="220"/>
      <c r="S104" s="220"/>
      <c r="T104" s="436"/>
      <c r="U104" s="220"/>
      <c r="V104" s="220"/>
      <c r="W104" s="220"/>
    </row>
    <row r="105" spans="1:23" hidden="1">
      <c r="A105" s="220"/>
      <c r="B105" s="443">
        <v>64342.799999999996</v>
      </c>
      <c r="C105" s="443">
        <v>170430</v>
      </c>
      <c r="D105" s="443">
        <v>43700.987826086959</v>
      </c>
      <c r="E105" s="443">
        <v>48771.812173913044</v>
      </c>
      <c r="F105" s="443">
        <v>20759.2</v>
      </c>
      <c r="G105" s="443">
        <v>348004.80000000005</v>
      </c>
      <c r="H105" s="436"/>
      <c r="I105" s="436"/>
      <c r="J105" s="436"/>
      <c r="K105" s="436"/>
      <c r="L105" s="436"/>
      <c r="M105" s="439"/>
      <c r="N105" s="439"/>
      <c r="O105" s="439"/>
      <c r="P105" s="439"/>
      <c r="Q105" s="440"/>
      <c r="R105" s="220"/>
      <c r="S105" s="220"/>
      <c r="T105" s="436"/>
      <c r="U105" s="220"/>
      <c r="V105" s="220"/>
      <c r="W105" s="220"/>
    </row>
    <row r="106" spans="1:23" ht="13" hidden="1" thickBot="1">
      <c r="A106" s="220"/>
      <c r="B106" s="443"/>
      <c r="C106" s="443"/>
      <c r="D106" s="443"/>
      <c r="E106" s="443"/>
      <c r="F106" s="443"/>
      <c r="G106" s="443"/>
      <c r="H106" s="436"/>
      <c r="I106" s="436"/>
      <c r="J106" s="436"/>
      <c r="K106" s="436"/>
      <c r="L106" s="436"/>
      <c r="M106" s="439"/>
      <c r="N106" s="439"/>
      <c r="O106" s="439"/>
      <c r="P106" s="439"/>
      <c r="Q106" s="440"/>
      <c r="R106" s="220"/>
      <c r="S106" s="220"/>
      <c r="T106" s="436"/>
      <c r="U106" s="220"/>
      <c r="V106" s="220"/>
      <c r="W106" s="220"/>
    </row>
    <row r="107" spans="1:23" ht="14.5" hidden="1" thickBot="1">
      <c r="A107" s="612" t="s">
        <v>388</v>
      </c>
      <c r="B107" s="613"/>
      <c r="C107" s="614"/>
      <c r="M107" s="439"/>
      <c r="N107" s="439"/>
      <c r="O107" s="439"/>
      <c r="P107" s="439"/>
      <c r="S107" s="292"/>
    </row>
    <row r="108" spans="1:23" hidden="1">
      <c r="M108" s="439"/>
      <c r="N108" s="439"/>
      <c r="O108" s="439"/>
      <c r="P108" s="439"/>
      <c r="S108" s="292"/>
    </row>
    <row r="109" spans="1:23" hidden="1">
      <c r="A109" s="444" t="s">
        <v>391</v>
      </c>
      <c r="B109" s="445">
        <v>7019.3</v>
      </c>
      <c r="M109" s="439"/>
      <c r="N109" s="439"/>
      <c r="O109" s="439"/>
      <c r="P109" s="439"/>
    </row>
    <row r="110" spans="1:23" hidden="1">
      <c r="A110" s="444" t="s">
        <v>389</v>
      </c>
      <c r="B110" s="445">
        <v>3119.68</v>
      </c>
      <c r="M110" s="439"/>
      <c r="N110" s="439"/>
      <c r="O110" s="439"/>
      <c r="P110" s="439"/>
    </row>
    <row r="111" spans="1:23" hidden="1">
      <c r="A111" s="444" t="s">
        <v>390</v>
      </c>
      <c r="B111" s="445">
        <v>2496.7800000000002</v>
      </c>
      <c r="M111" s="439"/>
      <c r="N111" s="439"/>
      <c r="O111" s="439"/>
      <c r="P111" s="439"/>
    </row>
    <row r="112" spans="1:23" ht="13" hidden="1" thickBot="1">
      <c r="A112" s="444" t="s">
        <v>406</v>
      </c>
      <c r="B112" s="445">
        <f>165.49*2</f>
        <v>330.98</v>
      </c>
      <c r="M112" s="439"/>
      <c r="N112" s="439"/>
      <c r="O112" s="439"/>
      <c r="P112" s="439"/>
    </row>
    <row r="113" spans="1:23" ht="13" hidden="1" thickBot="1">
      <c r="A113" s="444"/>
      <c r="B113" s="520">
        <f>SUM(B109:B111)</f>
        <v>12635.76</v>
      </c>
      <c r="M113" s="439"/>
      <c r="N113" s="439"/>
      <c r="O113" s="439"/>
      <c r="P113" s="439"/>
    </row>
    <row r="114" spans="1:23">
      <c r="A114" s="220"/>
      <c r="H114" s="436"/>
      <c r="I114" s="436"/>
      <c r="J114" s="436"/>
      <c r="K114" s="436"/>
      <c r="L114" s="436"/>
      <c r="M114" s="439"/>
      <c r="N114" s="439"/>
      <c r="O114" s="439"/>
      <c r="P114" s="439"/>
      <c r="Q114" s="440"/>
      <c r="R114" s="220"/>
      <c r="S114" s="220"/>
      <c r="T114" s="436"/>
      <c r="U114" s="220"/>
      <c r="V114" s="220"/>
      <c r="W114" s="220"/>
    </row>
    <row r="115" spans="1:23">
      <c r="A115" s="220"/>
      <c r="H115" s="436"/>
      <c r="I115" s="436"/>
      <c r="J115" s="436"/>
      <c r="K115" s="436"/>
      <c r="L115" s="436"/>
      <c r="M115" s="439"/>
      <c r="N115" s="439"/>
      <c r="O115" s="439"/>
      <c r="P115" s="439"/>
      <c r="Q115" s="440"/>
      <c r="R115" s="220"/>
      <c r="S115" s="220"/>
      <c r="T115" s="436"/>
      <c r="U115" s="220"/>
      <c r="V115" s="220"/>
      <c r="W115" s="220"/>
    </row>
    <row r="116" spans="1:23">
      <c r="A116" s="220"/>
      <c r="H116" s="436"/>
      <c r="I116" s="436"/>
      <c r="J116" s="436"/>
      <c r="K116" s="436"/>
      <c r="L116" s="436"/>
      <c r="M116" s="439"/>
      <c r="N116" s="439"/>
      <c r="O116" s="439"/>
      <c r="P116" s="439"/>
      <c r="Q116" s="440"/>
      <c r="R116" s="220"/>
      <c r="S116" s="220"/>
      <c r="T116" s="436"/>
      <c r="U116" s="220"/>
      <c r="V116" s="220"/>
      <c r="W116" s="220"/>
    </row>
    <row r="117" spans="1:23">
      <c r="A117" s="220"/>
      <c r="H117" s="436"/>
      <c r="I117" s="436"/>
      <c r="J117" s="436"/>
      <c r="K117" s="436"/>
      <c r="L117" s="436"/>
      <c r="M117" s="439"/>
      <c r="N117" s="439"/>
      <c r="O117" s="439"/>
      <c r="P117" s="439"/>
      <c r="Q117" s="220"/>
      <c r="R117" s="220"/>
      <c r="S117" s="220"/>
      <c r="T117" s="436"/>
      <c r="U117" s="220"/>
      <c r="V117" s="220"/>
      <c r="W117" s="220"/>
    </row>
    <row r="118" spans="1:23">
      <c r="A118" s="220"/>
      <c r="B118" s="220"/>
      <c r="C118" s="220"/>
      <c r="D118" s="220"/>
      <c r="E118" s="220"/>
      <c r="F118" s="220"/>
      <c r="G118" s="220"/>
      <c r="H118" s="436"/>
      <c r="I118" s="436"/>
      <c r="J118" s="436"/>
      <c r="K118" s="436"/>
      <c r="L118" s="436"/>
      <c r="M118" s="439"/>
      <c r="N118" s="439"/>
      <c r="O118" s="439"/>
      <c r="P118" s="439"/>
      <c r="Q118" s="220"/>
      <c r="R118" s="220"/>
      <c r="S118" s="220"/>
      <c r="T118" s="436"/>
      <c r="U118" s="220"/>
      <c r="V118" s="220"/>
      <c r="W118" s="220"/>
    </row>
    <row r="119" spans="1:23" ht="52.5">
      <c r="A119" s="528" t="s">
        <v>429</v>
      </c>
      <c r="B119" s="523" t="s">
        <v>447</v>
      </c>
      <c r="C119" s="535" t="s">
        <v>434</v>
      </c>
      <c r="D119" s="523" t="s">
        <v>187</v>
      </c>
      <c r="E119" s="523" t="s">
        <v>385</v>
      </c>
      <c r="F119" s="523" t="s">
        <v>433</v>
      </c>
      <c r="G119" s="525" t="s">
        <v>189</v>
      </c>
      <c r="H119" s="220"/>
      <c r="I119" s="323"/>
      <c r="J119" s="202"/>
      <c r="K119" s="202"/>
      <c r="L119" s="323"/>
      <c r="M119" s="420"/>
    </row>
    <row r="120" spans="1:23">
      <c r="A120" s="526" t="s">
        <v>196</v>
      </c>
      <c r="B120" s="529">
        <v>11704.599999999999</v>
      </c>
      <c r="C120" s="536">
        <f>B120-M84</f>
        <v>-5988.4000000000015</v>
      </c>
      <c r="D120" s="529">
        <v>1348</v>
      </c>
      <c r="E120" s="529">
        <v>20875</v>
      </c>
      <c r="F120" s="529">
        <v>2702.2</v>
      </c>
      <c r="G120" s="530">
        <f t="shared" ref="G120:G135" si="13">SUM(B120,D120,E120,F120)</f>
        <v>36629.799999999996</v>
      </c>
      <c r="H120" s="291"/>
      <c r="I120" s="323"/>
      <c r="J120" s="323"/>
      <c r="K120" s="323"/>
      <c r="L120" s="323"/>
      <c r="M120" s="420"/>
    </row>
    <row r="121" spans="1:23">
      <c r="A121" s="526" t="s">
        <v>197</v>
      </c>
      <c r="B121" s="529">
        <v>31150.2</v>
      </c>
      <c r="C121" s="625">
        <f>SUM(B121+B122)-M85</f>
        <v>-16166</v>
      </c>
      <c r="D121" s="529">
        <v>1685</v>
      </c>
      <c r="E121" s="529">
        <v>20040</v>
      </c>
      <c r="F121" s="529">
        <v>11063.400000000001</v>
      </c>
      <c r="G121" s="530">
        <f t="shared" si="13"/>
        <v>63938.6</v>
      </c>
      <c r="H121" s="291"/>
      <c r="I121" s="323"/>
      <c r="J121" s="323"/>
      <c r="K121" s="202"/>
      <c r="L121" s="426"/>
      <c r="M121" s="220"/>
    </row>
    <row r="122" spans="1:23">
      <c r="A122" s="526" t="s">
        <v>198</v>
      </c>
      <c r="B122" s="529">
        <v>7753.1999999999989</v>
      </c>
      <c r="C122" s="625"/>
      <c r="D122" s="529">
        <v>0</v>
      </c>
      <c r="E122" s="529">
        <v>167</v>
      </c>
      <c r="F122" s="529">
        <v>0</v>
      </c>
      <c r="G122" s="530">
        <f t="shared" si="13"/>
        <v>7920.1999999999989</v>
      </c>
      <c r="H122" s="291"/>
      <c r="I122" s="323"/>
      <c r="J122" s="323"/>
      <c r="K122" s="202"/>
      <c r="L122" s="426"/>
      <c r="M122" s="220"/>
    </row>
    <row r="123" spans="1:23">
      <c r="A123" s="526" t="s">
        <v>2</v>
      </c>
      <c r="B123" s="529">
        <v>13647.799999999997</v>
      </c>
      <c r="C123" s="536">
        <f t="shared" ref="C123:C129" si="14">B123-M87</f>
        <v>1050.5999999999967</v>
      </c>
      <c r="D123" s="529">
        <v>1348</v>
      </c>
      <c r="E123" s="529">
        <v>2672</v>
      </c>
      <c r="F123" s="529">
        <v>3116.2</v>
      </c>
      <c r="G123" s="530">
        <f t="shared" si="13"/>
        <v>20783.999999999996</v>
      </c>
      <c r="H123" s="291"/>
      <c r="I123" s="323"/>
      <c r="J123" s="323"/>
      <c r="K123" s="202"/>
      <c r="L123" s="220"/>
      <c r="M123" s="220"/>
    </row>
    <row r="124" spans="1:23">
      <c r="A124" s="526" t="s">
        <v>12</v>
      </c>
      <c r="B124" s="529">
        <v>14409.999999999996</v>
      </c>
      <c r="C124" s="536">
        <f t="shared" si="14"/>
        <v>-4283.4000000000051</v>
      </c>
      <c r="D124" s="529">
        <v>0</v>
      </c>
      <c r="E124" s="529">
        <v>7849</v>
      </c>
      <c r="F124" s="529">
        <v>2372.1999999999998</v>
      </c>
      <c r="G124" s="530">
        <f t="shared" si="13"/>
        <v>24631.199999999997</v>
      </c>
      <c r="H124" s="291"/>
      <c r="I124" s="323"/>
      <c r="J124" s="323"/>
      <c r="K124" s="202"/>
      <c r="L124" s="291"/>
      <c r="M124" s="220"/>
    </row>
    <row r="125" spans="1:23">
      <c r="A125" s="526" t="s">
        <v>109</v>
      </c>
      <c r="B125" s="529">
        <v>5691</v>
      </c>
      <c r="C125" s="536">
        <f t="shared" si="14"/>
        <v>-2255.1999999999989</v>
      </c>
      <c r="D125" s="529">
        <v>337</v>
      </c>
      <c r="E125" s="529">
        <v>1002</v>
      </c>
      <c r="F125" s="529">
        <v>2874.4</v>
      </c>
      <c r="G125" s="530">
        <f t="shared" si="13"/>
        <v>9904.4</v>
      </c>
      <c r="H125" s="291"/>
      <c r="I125" s="323"/>
      <c r="J125" s="323"/>
      <c r="K125" s="202"/>
      <c r="L125" s="291"/>
      <c r="M125" s="220"/>
    </row>
    <row r="126" spans="1:23">
      <c r="A126" s="526" t="s">
        <v>4</v>
      </c>
      <c r="B126" s="529">
        <v>15316.4</v>
      </c>
      <c r="C126" s="536">
        <f t="shared" si="14"/>
        <v>4319.7999999999993</v>
      </c>
      <c r="D126" s="529">
        <v>0</v>
      </c>
      <c r="E126" s="529">
        <v>668</v>
      </c>
      <c r="F126" s="529">
        <v>2479.1999999999998</v>
      </c>
      <c r="G126" s="530">
        <f t="shared" si="13"/>
        <v>18463.599999999999</v>
      </c>
      <c r="H126" s="291"/>
      <c r="I126" s="323"/>
      <c r="J126" s="323"/>
      <c r="K126" s="202"/>
      <c r="L126" s="291"/>
      <c r="M126" s="220"/>
    </row>
    <row r="127" spans="1:23">
      <c r="A127" s="526" t="s">
        <v>5</v>
      </c>
      <c r="B127" s="529">
        <v>9092.2000000000007</v>
      </c>
      <c r="C127" s="536">
        <f t="shared" si="14"/>
        <v>3702.0000000000009</v>
      </c>
      <c r="D127" s="529">
        <v>674</v>
      </c>
      <c r="E127" s="529">
        <v>22378</v>
      </c>
      <c r="F127" s="529">
        <v>6516.4</v>
      </c>
      <c r="G127" s="530">
        <f t="shared" si="13"/>
        <v>38660.6</v>
      </c>
      <c r="H127" s="291"/>
      <c r="I127" s="323"/>
      <c r="J127" s="323"/>
      <c r="K127" s="202"/>
      <c r="L127" s="291"/>
      <c r="M127" s="220"/>
    </row>
    <row r="128" spans="1:23">
      <c r="A128" s="526" t="s">
        <v>6</v>
      </c>
      <c r="B128" s="529">
        <v>4546.7999999999993</v>
      </c>
      <c r="C128" s="536">
        <f t="shared" si="14"/>
        <v>-166.00000000000091</v>
      </c>
      <c r="D128" s="529">
        <v>0</v>
      </c>
      <c r="E128" s="529">
        <v>334</v>
      </c>
      <c r="F128" s="529">
        <v>334</v>
      </c>
      <c r="G128" s="530">
        <f t="shared" si="13"/>
        <v>5214.7999999999993</v>
      </c>
      <c r="H128" s="291"/>
      <c r="I128" s="202"/>
      <c r="J128" s="323"/>
      <c r="K128" s="202"/>
      <c r="L128" s="291"/>
      <c r="M128" s="220"/>
    </row>
    <row r="129" spans="1:23">
      <c r="A129" s="526" t="s">
        <v>8</v>
      </c>
      <c r="B129" s="529">
        <v>18352.399999999998</v>
      </c>
      <c r="C129" s="536">
        <f t="shared" si="14"/>
        <v>-10492.600000000009</v>
      </c>
      <c r="D129" s="529">
        <v>3370</v>
      </c>
      <c r="E129" s="529">
        <v>11523</v>
      </c>
      <c r="F129" s="529">
        <v>11595.8</v>
      </c>
      <c r="G129" s="530">
        <f t="shared" si="13"/>
        <v>44841.2</v>
      </c>
      <c r="H129" s="291"/>
      <c r="I129" s="202"/>
      <c r="J129" s="323"/>
      <c r="K129" s="202"/>
      <c r="L129" s="429"/>
      <c r="M129" s="220"/>
    </row>
    <row r="130" spans="1:23">
      <c r="A130" s="526" t="s">
        <v>428</v>
      </c>
      <c r="B130" s="529">
        <v>1594.3999999999999</v>
      </c>
      <c r="C130" s="536"/>
      <c r="D130" s="529">
        <v>0</v>
      </c>
      <c r="E130" s="529">
        <v>0</v>
      </c>
      <c r="F130" s="529">
        <v>635.20000000000005</v>
      </c>
      <c r="G130" s="530">
        <f t="shared" si="13"/>
        <v>2229.6</v>
      </c>
      <c r="H130" s="291"/>
      <c r="I130" s="202"/>
      <c r="J130" s="323"/>
      <c r="K130" s="202"/>
      <c r="L130" s="429"/>
      <c r="M130" s="220"/>
    </row>
    <row r="131" spans="1:23">
      <c r="A131" s="526" t="s">
        <v>9</v>
      </c>
      <c r="B131" s="529">
        <v>54766.400000000016</v>
      </c>
      <c r="C131" s="536">
        <f>B131-M94</f>
        <v>-4785.8000000000247</v>
      </c>
      <c r="D131" s="529">
        <v>2696</v>
      </c>
      <c r="E131" s="529">
        <v>9185</v>
      </c>
      <c r="F131" s="529">
        <v>14670.400000000001</v>
      </c>
      <c r="G131" s="530">
        <f t="shared" si="13"/>
        <v>81317.800000000017</v>
      </c>
      <c r="H131" s="291"/>
      <c r="I131" s="202"/>
      <c r="J131" s="323"/>
      <c r="K131" s="202"/>
      <c r="L131" s="291"/>
      <c r="M131" s="220"/>
    </row>
    <row r="132" spans="1:23">
      <c r="A132" s="526" t="s">
        <v>10</v>
      </c>
      <c r="B132" s="529">
        <v>1443.6</v>
      </c>
      <c r="C132" s="536">
        <f>B132-M95</f>
        <v>0</v>
      </c>
      <c r="D132" s="529">
        <v>0</v>
      </c>
      <c r="E132" s="529">
        <v>668</v>
      </c>
      <c r="F132" s="529">
        <v>922.4</v>
      </c>
      <c r="G132" s="530">
        <f t="shared" si="13"/>
        <v>3034</v>
      </c>
      <c r="H132" s="291"/>
      <c r="I132" s="202"/>
      <c r="J132" s="323"/>
      <c r="K132" s="202"/>
      <c r="L132" s="291"/>
      <c r="M132" s="220"/>
    </row>
    <row r="133" spans="1:23">
      <c r="A133" s="526" t="s">
        <v>199</v>
      </c>
      <c r="B133" s="529">
        <v>28778.199999999993</v>
      </c>
      <c r="C133" s="625">
        <f>SUM(B133+B134)-M96</f>
        <v>-2058.2000000000116</v>
      </c>
      <c r="D133" s="529">
        <v>1011</v>
      </c>
      <c r="E133" s="529">
        <v>11022</v>
      </c>
      <c r="F133" s="529">
        <v>7640.4000000000005</v>
      </c>
      <c r="G133" s="530">
        <f t="shared" si="13"/>
        <v>48451.6</v>
      </c>
      <c r="H133" s="291"/>
      <c r="I133" s="202"/>
      <c r="J133" s="323"/>
      <c r="K133" s="202"/>
      <c r="L133" s="291"/>
      <c r="M133" s="220"/>
    </row>
    <row r="134" spans="1:23">
      <c r="A134" s="526" t="s">
        <v>200</v>
      </c>
      <c r="B134" s="529">
        <v>5541.7999999999993</v>
      </c>
      <c r="C134" s="625"/>
      <c r="D134" s="529">
        <v>0</v>
      </c>
      <c r="E134" s="529">
        <v>334</v>
      </c>
      <c r="F134" s="529">
        <v>0</v>
      </c>
      <c r="G134" s="530">
        <f t="shared" si="13"/>
        <v>5875.7999999999993</v>
      </c>
      <c r="H134" s="291"/>
      <c r="I134" s="202"/>
      <c r="J134" s="323"/>
      <c r="K134" s="202"/>
      <c r="L134" s="291"/>
      <c r="M134" s="220"/>
    </row>
    <row r="135" spans="1:23" ht="13" thickBot="1">
      <c r="A135" s="526" t="s">
        <v>110</v>
      </c>
      <c r="B135" s="529">
        <v>69254.60000000002</v>
      </c>
      <c r="C135" s="536">
        <v>337</v>
      </c>
      <c r="D135" s="529">
        <v>337</v>
      </c>
      <c r="E135" s="529">
        <v>22879</v>
      </c>
      <c r="F135" s="529">
        <v>8854.4</v>
      </c>
      <c r="G135" s="530">
        <f t="shared" si="13"/>
        <v>101325.00000000001</v>
      </c>
      <c r="H135" s="291"/>
      <c r="I135" s="202"/>
      <c r="J135" s="323"/>
      <c r="K135" s="202"/>
      <c r="L135" s="374"/>
      <c r="M135" s="220"/>
    </row>
    <row r="136" spans="1:23" ht="13" thickBot="1">
      <c r="A136" s="527" t="s">
        <v>14</v>
      </c>
      <c r="B136" s="524">
        <f>SUM(B120:B135)</f>
        <v>293043.59999999998</v>
      </c>
      <c r="C136" s="537">
        <f t="shared" ref="C136" si="15">SUM(C120:C135)</f>
        <v>-36786.200000000055</v>
      </c>
      <c r="D136" s="524">
        <f>SUM(D120:D135)</f>
        <v>12806</v>
      </c>
      <c r="E136" s="524">
        <f>SUM(E120:E135)</f>
        <v>131596</v>
      </c>
      <c r="F136" s="524">
        <f>SUM(F120:F135)</f>
        <v>75776.599999999991</v>
      </c>
      <c r="G136" s="522">
        <f>SUM(G120:G135)</f>
        <v>513222.1999999999</v>
      </c>
      <c r="H136" s="433" t="s">
        <v>379</v>
      </c>
      <c r="I136" s="202"/>
      <c r="J136" s="202"/>
      <c r="K136" s="202"/>
      <c r="L136" s="374"/>
      <c r="M136" s="220"/>
    </row>
    <row r="137" spans="1:23" ht="13" thickBot="1">
      <c r="A137"/>
      <c r="B137"/>
      <c r="C137" s="374"/>
      <c r="D137" s="374"/>
      <c r="E137" s="374"/>
      <c r="F137" s="374"/>
      <c r="G137" s="293">
        <f>G136-F136</f>
        <v>437445.59999999992</v>
      </c>
      <c r="H137" s="437" t="s">
        <v>380</v>
      </c>
      <c r="I137" s="292"/>
      <c r="J137" s="202"/>
      <c r="K137" s="202"/>
      <c r="L137" s="220"/>
      <c r="M137" s="220"/>
    </row>
    <row r="138" spans="1:23">
      <c r="A138"/>
      <c r="B138"/>
      <c r="C138" s="439"/>
      <c r="D138" s="439"/>
      <c r="E138" s="439"/>
      <c r="F138" s="439"/>
      <c r="G138" s="220"/>
      <c r="H138" s="440"/>
      <c r="I138" s="440"/>
      <c r="J138" s="436"/>
      <c r="K138" s="220"/>
      <c r="L138" s="220"/>
      <c r="M138" s="220"/>
    </row>
    <row r="139" spans="1:23">
      <c r="A139"/>
      <c r="B139"/>
      <c r="C139" s="436"/>
      <c r="D139" s="436"/>
      <c r="E139" s="436"/>
      <c r="F139" s="436"/>
      <c r="G139" s="439"/>
      <c r="H139" s="439"/>
      <c r="I139" s="439"/>
      <c r="J139" s="439"/>
      <c r="K139" s="220"/>
      <c r="L139" s="440"/>
      <c r="M139" s="440"/>
      <c r="N139" s="436"/>
      <c r="O139" s="220"/>
      <c r="P139" s="220"/>
      <c r="Q139" s="220"/>
    </row>
    <row r="140" spans="1:23">
      <c r="A140"/>
      <c r="B140"/>
      <c r="C140" s="436"/>
      <c r="D140" s="436"/>
      <c r="E140" s="436"/>
      <c r="F140" s="436"/>
      <c r="G140" s="439"/>
      <c r="H140" s="439"/>
      <c r="I140" s="439"/>
      <c r="J140" s="439"/>
      <c r="K140" s="220"/>
      <c r="L140" s="220"/>
      <c r="M140" s="220"/>
      <c r="N140" s="436"/>
      <c r="O140" s="220"/>
      <c r="P140" s="220"/>
      <c r="Q140" s="220"/>
    </row>
    <row r="141" spans="1:23">
      <c r="A141"/>
      <c r="B141"/>
      <c r="C141" s="436"/>
      <c r="D141" s="534"/>
      <c r="E141" s="436"/>
      <c r="F141" s="436"/>
      <c r="G141" s="439"/>
      <c r="H141" s="439"/>
      <c r="I141" s="439"/>
      <c r="J141" s="439"/>
      <c r="K141" s="220"/>
      <c r="L141" s="220"/>
      <c r="M141" s="220"/>
      <c r="N141" s="436"/>
      <c r="O141" s="220"/>
      <c r="P141" s="220"/>
      <c r="Q141" s="220"/>
    </row>
    <row r="142" spans="1:23">
      <c r="A142"/>
      <c r="B142"/>
      <c r="C142" s="534"/>
      <c r="D142" s="436"/>
      <c r="E142" s="436"/>
      <c r="F142" s="436"/>
      <c r="G142" s="439"/>
      <c r="H142" s="439"/>
      <c r="I142" s="439"/>
      <c r="J142" s="439"/>
      <c r="K142" s="440"/>
      <c r="L142" s="220"/>
      <c r="M142" s="220"/>
      <c r="N142" s="436"/>
      <c r="O142" s="220"/>
      <c r="P142" s="220"/>
      <c r="Q142" s="220"/>
    </row>
    <row r="143" spans="1:23">
      <c r="A143" s="220"/>
      <c r="B143" s="220"/>
      <c r="C143" s="220"/>
      <c r="D143" s="220"/>
      <c r="E143" s="220"/>
      <c r="F143" s="220"/>
      <c r="G143" s="220"/>
      <c r="H143" s="436"/>
      <c r="I143" s="436"/>
      <c r="J143" s="436"/>
      <c r="K143" s="436"/>
      <c r="L143" s="436"/>
      <c r="M143" s="439"/>
      <c r="N143" s="439"/>
      <c r="O143" s="439"/>
      <c r="P143" s="439"/>
      <c r="Q143" s="220"/>
      <c r="R143" s="220"/>
      <c r="S143" s="220"/>
      <c r="T143" s="436"/>
      <c r="U143" s="220"/>
      <c r="V143" s="220"/>
      <c r="W143" s="220"/>
    </row>
    <row r="144" spans="1:23" ht="13" thickBot="1">
      <c r="A144" s="220"/>
      <c r="B144" s="220"/>
      <c r="C144" s="220"/>
      <c r="D144" s="220"/>
      <c r="E144" s="220"/>
      <c r="F144" s="220"/>
      <c r="G144" s="220"/>
      <c r="H144" s="436"/>
      <c r="I144" s="436"/>
      <c r="J144" s="436"/>
      <c r="K144" s="436"/>
      <c r="L144" s="436"/>
      <c r="M144" s="439"/>
      <c r="N144" s="439"/>
      <c r="O144" s="439"/>
      <c r="P144" s="439"/>
      <c r="Q144" s="220"/>
      <c r="R144" s="220"/>
      <c r="S144" s="220"/>
      <c r="T144" s="436"/>
      <c r="U144" s="220"/>
      <c r="V144" s="220"/>
      <c r="W144" s="220"/>
    </row>
    <row r="145" spans="1:19" ht="14.5" thickBot="1">
      <c r="A145" s="619" t="s">
        <v>388</v>
      </c>
      <c r="B145" s="620"/>
      <c r="C145" s="621"/>
      <c r="M145" s="439"/>
      <c r="N145" s="439"/>
      <c r="O145" s="439"/>
      <c r="P145" s="439"/>
      <c r="S145" s="292"/>
    </row>
    <row r="146" spans="1:19">
      <c r="A146" s="134"/>
      <c r="B146" s="134"/>
      <c r="C146" s="134"/>
    </row>
    <row r="147" spans="1:19">
      <c r="A147" s="531" t="s">
        <v>391</v>
      </c>
      <c r="B147" s="532">
        <v>7019.3</v>
      </c>
      <c r="C147" s="134"/>
    </row>
    <row r="148" spans="1:19">
      <c r="A148" s="531" t="s">
        <v>389</v>
      </c>
      <c r="B148" s="532">
        <v>3119.68</v>
      </c>
      <c r="C148" s="134"/>
    </row>
    <row r="149" spans="1:19">
      <c r="A149" s="531" t="s">
        <v>390</v>
      </c>
      <c r="B149" s="532">
        <v>2496.7800000000002</v>
      </c>
      <c r="C149" s="134"/>
    </row>
    <row r="150" spans="1:19" ht="13" thickBot="1">
      <c r="A150" s="531" t="s">
        <v>406</v>
      </c>
      <c r="B150" s="532">
        <f>165.49*2</f>
        <v>330.98</v>
      </c>
      <c r="C150" s="134"/>
    </row>
    <row r="151" spans="1:19" ht="13" thickBot="1">
      <c r="A151" s="531"/>
      <c r="B151" s="533">
        <f>SUM(B147:B149)</f>
        <v>12635.76</v>
      </c>
      <c r="C151" s="134"/>
    </row>
    <row r="153" spans="1:19">
      <c r="A153" s="444"/>
      <c r="M153" s="439"/>
      <c r="N153" s="439"/>
      <c r="O153" s="439"/>
      <c r="P153" s="439"/>
    </row>
    <row r="154" spans="1:19">
      <c r="M154" s="440"/>
      <c r="N154" s="440"/>
      <c r="O154" s="440"/>
      <c r="P154" s="440"/>
    </row>
    <row r="155" spans="1:19">
      <c r="M155" s="440"/>
      <c r="N155" s="440"/>
      <c r="O155" s="440"/>
      <c r="P155" s="440"/>
    </row>
  </sheetData>
  <mergeCells count="14">
    <mergeCell ref="A145:C145"/>
    <mergeCell ref="C18:C21"/>
    <mergeCell ref="A22:A25"/>
    <mergeCell ref="C16:C17"/>
    <mergeCell ref="A2:C2"/>
    <mergeCell ref="C121:C122"/>
    <mergeCell ref="C133:C134"/>
    <mergeCell ref="A107:C107"/>
    <mergeCell ref="A29:C29"/>
    <mergeCell ref="E5:E10"/>
    <mergeCell ref="A13:C13"/>
    <mergeCell ref="A16:A17"/>
    <mergeCell ref="B16:B17"/>
    <mergeCell ref="D5:D1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</sheetPr>
  <dimension ref="A1:U126"/>
  <sheetViews>
    <sheetView zoomScaleNormal="100" workbookViewId="0">
      <selection activeCell="E4" sqref="E4"/>
    </sheetView>
  </sheetViews>
  <sheetFormatPr baseColWidth="10" defaultRowHeight="12.5"/>
  <cols>
    <col min="1" max="1" width="19.7265625" customWidth="1"/>
    <col min="2" max="2" width="7.1796875" customWidth="1"/>
    <col min="3" max="3" width="52.453125" customWidth="1"/>
    <col min="4" max="4" width="15.453125" customWidth="1"/>
    <col min="5" max="5" width="13.81640625" customWidth="1"/>
    <col min="6" max="6" width="15" customWidth="1"/>
    <col min="7" max="7" width="15.1796875" customWidth="1"/>
    <col min="8" max="8" width="14.81640625" customWidth="1"/>
    <col min="9" max="9" width="14.54296875" customWidth="1"/>
    <col min="10" max="10" width="15.54296875" customWidth="1"/>
    <col min="11" max="11" width="15" customWidth="1"/>
    <col min="12" max="13" width="14.54296875" customWidth="1"/>
    <col min="14" max="14" width="13.453125" customWidth="1"/>
    <col min="15" max="15" width="14.54296875" customWidth="1"/>
    <col min="16" max="16" width="18.453125" customWidth="1"/>
    <col min="17" max="17" width="15.453125" customWidth="1"/>
    <col min="18" max="18" width="16.81640625" customWidth="1"/>
    <col min="19" max="19" width="15.1796875" customWidth="1"/>
    <col min="20" max="20" width="21.54296875" customWidth="1"/>
    <col min="21" max="21" width="14.54296875" customWidth="1"/>
    <col min="22" max="22" width="13.81640625" customWidth="1"/>
    <col min="23" max="23" width="13.1796875" customWidth="1"/>
    <col min="24" max="24" width="13.453125" customWidth="1"/>
    <col min="25" max="25" width="17.81640625" bestFit="1" customWidth="1"/>
    <col min="26" max="26" width="24.54296875" customWidth="1"/>
    <col min="27" max="27" width="14.1796875" bestFit="1" customWidth="1"/>
    <col min="28" max="28" width="14.81640625" customWidth="1"/>
  </cols>
  <sheetData>
    <row r="1" spans="1:19" ht="12.75" customHeight="1">
      <c r="L1" s="1"/>
      <c r="M1" s="1"/>
    </row>
    <row r="2" spans="1:19" ht="12.75" customHeight="1"/>
    <row r="3" spans="1:19" ht="12.75" customHeight="1">
      <c r="C3" s="17" t="s">
        <v>408</v>
      </c>
      <c r="D3" s="684">
        <v>189</v>
      </c>
    </row>
    <row r="4" spans="1:19" ht="12.75" customHeight="1">
      <c r="C4" t="s">
        <v>409</v>
      </c>
      <c r="D4" s="277">
        <f>(116.44)</f>
        <v>116.44</v>
      </c>
    </row>
    <row r="5" spans="1:19" ht="12.75" customHeight="1">
      <c r="C5" t="s">
        <v>412</v>
      </c>
      <c r="D5" s="277">
        <f>176.67</f>
        <v>176.67</v>
      </c>
    </row>
    <row r="6" spans="1:19" ht="12.75" customHeight="1">
      <c r="C6" s="1"/>
      <c r="D6" s="1"/>
    </row>
    <row r="7" spans="1:19" ht="12.75" customHeight="1">
      <c r="C7" s="596"/>
      <c r="D7" s="596"/>
      <c r="E7" s="596"/>
      <c r="F7" s="31"/>
      <c r="H7" s="189"/>
      <c r="I7" s="73"/>
      <c r="J7" s="73"/>
      <c r="K7" s="31"/>
      <c r="O7" s="31"/>
    </row>
    <row r="8" spans="1:19" ht="23">
      <c r="C8" s="122" t="s">
        <v>410</v>
      </c>
      <c r="D8" s="587" t="s">
        <v>32</v>
      </c>
      <c r="E8" s="587" t="s">
        <v>38</v>
      </c>
      <c r="F8" s="587" t="s">
        <v>37</v>
      </c>
      <c r="G8" s="587" t="s">
        <v>39</v>
      </c>
      <c r="H8" s="587" t="s">
        <v>40</v>
      </c>
      <c r="I8" s="587" t="s">
        <v>41</v>
      </c>
      <c r="J8" s="587" t="s">
        <v>42</v>
      </c>
      <c r="K8" s="587" t="s">
        <v>43</v>
      </c>
      <c r="L8" s="587" t="s">
        <v>45</v>
      </c>
      <c r="M8" s="587" t="s">
        <v>411</v>
      </c>
      <c r="N8" s="587" t="s">
        <v>46</v>
      </c>
      <c r="O8" s="587" t="s">
        <v>47</v>
      </c>
      <c r="P8" s="587" t="s">
        <v>48</v>
      </c>
      <c r="Q8" s="587" t="s">
        <v>49</v>
      </c>
      <c r="R8" s="121" t="s">
        <v>14</v>
      </c>
    </row>
    <row r="9" spans="1:19" ht="13">
      <c r="A9" s="626" t="s">
        <v>82</v>
      </c>
      <c r="B9" s="590" t="s">
        <v>131</v>
      </c>
      <c r="C9" s="289" t="s">
        <v>69</v>
      </c>
      <c r="D9" s="517">
        <f>SUM(D10:D17)</f>
        <v>-89325.703573020684</v>
      </c>
      <c r="E9" s="500">
        <f t="shared" ref="E9:Q9" si="0">SUM(E10:E17)</f>
        <v>-615489.04424022255</v>
      </c>
      <c r="F9" s="500">
        <f t="shared" si="0"/>
        <v>-203839.63511526413</v>
      </c>
      <c r="G9" s="500">
        <f t="shared" si="0"/>
        <v>-60822.573291088011</v>
      </c>
      <c r="H9" s="500">
        <f t="shared" si="0"/>
        <v>-118125.5906561357</v>
      </c>
      <c r="I9" s="500">
        <f t="shared" si="0"/>
        <v>-156003.06190877705</v>
      </c>
      <c r="J9" s="500">
        <f t="shared" si="0"/>
        <v>-266317.32118122565</v>
      </c>
      <c r="K9" s="500">
        <f t="shared" si="0"/>
        <v>-40332.68110023396</v>
      </c>
      <c r="L9" s="500">
        <f>SUM(L10:L17)</f>
        <v>-386678.96405451489</v>
      </c>
      <c r="M9" s="500">
        <f t="shared" si="0"/>
        <v>-18293.835648</v>
      </c>
      <c r="N9" s="500">
        <f t="shared" si="0"/>
        <v>-448602.57954723877</v>
      </c>
      <c r="O9" s="500">
        <f t="shared" si="0"/>
        <v>-70624.346879232398</v>
      </c>
      <c r="P9" s="500">
        <f t="shared" si="0"/>
        <v>-475037.53798179346</v>
      </c>
      <c r="Q9" s="500">
        <f t="shared" si="0"/>
        <v>-562374.56001825747</v>
      </c>
      <c r="R9" s="500">
        <f>SUM(R10:R17)</f>
        <v>-3664465.3701006463</v>
      </c>
      <c r="S9" s="205"/>
    </row>
    <row r="10" spans="1:19">
      <c r="A10" s="626"/>
      <c r="B10" s="590"/>
      <c r="C10" s="83" t="s">
        <v>52</v>
      </c>
      <c r="D10" s="501">
        <v>-56115.33</v>
      </c>
      <c r="E10" s="501">
        <v>-398108.84</v>
      </c>
      <c r="F10" s="501">
        <v>-147884.16</v>
      </c>
      <c r="G10" s="501">
        <v>-38424.019999999997</v>
      </c>
      <c r="H10" s="501">
        <v>-84344.21</v>
      </c>
      <c r="I10" s="501">
        <v>-110772.84</v>
      </c>
      <c r="J10" s="501">
        <v>-169115.18</v>
      </c>
      <c r="K10" s="501">
        <v>-29490.9</v>
      </c>
      <c r="L10" s="501">
        <v>-273510.15999999997</v>
      </c>
      <c r="M10" s="501">
        <v>-15228.64</v>
      </c>
      <c r="N10" s="501">
        <v>-299971.56</v>
      </c>
      <c r="O10" s="501">
        <v>-54242.16</v>
      </c>
      <c r="P10" s="501">
        <v>-371878.11</v>
      </c>
      <c r="Q10" s="501">
        <v>-421343.89</v>
      </c>
      <c r="R10" s="501">
        <f>SUM(D10:Q10)</f>
        <v>-2470430</v>
      </c>
    </row>
    <row r="11" spans="1:19">
      <c r="A11" s="626"/>
      <c r="B11" s="590"/>
      <c r="C11" s="206" t="s">
        <v>72</v>
      </c>
      <c r="D11" s="501">
        <f>D10*0.0332</f>
        <v>-1863.0289560000001</v>
      </c>
      <c r="E11" s="501">
        <f t="shared" ref="E11:Q11" si="1">E10*0.0332</f>
        <v>-13217.213488000001</v>
      </c>
      <c r="F11" s="501">
        <f t="shared" si="1"/>
        <v>-4909.7541120000005</v>
      </c>
      <c r="G11" s="501">
        <f t="shared" si="1"/>
        <v>-1275.6774639999999</v>
      </c>
      <c r="H11" s="501">
        <f t="shared" si="1"/>
        <v>-2800.2277720000002</v>
      </c>
      <c r="I11" s="501">
        <f t="shared" si="1"/>
        <v>-3677.6582880000001</v>
      </c>
      <c r="J11" s="501">
        <f t="shared" si="1"/>
        <v>-5614.6239759999999</v>
      </c>
      <c r="K11" s="501">
        <f t="shared" si="1"/>
        <v>-979.09788000000003</v>
      </c>
      <c r="L11" s="501">
        <f t="shared" si="1"/>
        <v>-9080.5373119999986</v>
      </c>
      <c r="M11" s="501">
        <f t="shared" si="1"/>
        <v>-505.59084799999999</v>
      </c>
      <c r="N11" s="501">
        <f t="shared" si="1"/>
        <v>-9959.0557919999992</v>
      </c>
      <c r="O11" s="501">
        <f t="shared" si="1"/>
        <v>-1800.8397120000002</v>
      </c>
      <c r="P11" s="501">
        <f t="shared" si="1"/>
        <v>-12346.353251999999</v>
      </c>
      <c r="Q11" s="501">
        <f t="shared" si="1"/>
        <v>-13988.617148000001</v>
      </c>
      <c r="R11" s="501">
        <f>SUM(D11:Q11)</f>
        <v>-82018.276000000013</v>
      </c>
    </row>
    <row r="12" spans="1:19">
      <c r="A12" s="626"/>
      <c r="B12" s="590"/>
      <c r="C12" s="288" t="s">
        <v>223</v>
      </c>
      <c r="D12" s="502">
        <v>-832</v>
      </c>
      <c r="E12" s="503">
        <f>-41913.26-2088.24-4386.72</f>
        <v>-48388.22</v>
      </c>
      <c r="F12" s="503">
        <f>-1279.74-894.96</f>
        <v>-2174.6999999999998</v>
      </c>
      <c r="G12" s="503">
        <v>-665.66</v>
      </c>
      <c r="H12" s="503">
        <f>-6377.28</f>
        <v>-6377.28</v>
      </c>
      <c r="I12" s="503">
        <f>-4386.72-2088.24</f>
        <v>-6474.96</v>
      </c>
      <c r="J12" s="503">
        <f>-3188.64</f>
        <v>-3188.64</v>
      </c>
      <c r="K12" s="503"/>
      <c r="L12" s="503">
        <f>-15013.18</f>
        <v>-15013.18</v>
      </c>
      <c r="M12" s="503"/>
      <c r="N12" s="503">
        <f>-731.4-10831.2-10431.68-2678.52-3454.36</f>
        <v>-28127.16</v>
      </c>
      <c r="O12" s="503"/>
      <c r="P12" s="503">
        <f>-1461.46-332.8</f>
        <v>-1794.26</v>
      </c>
      <c r="Q12" s="503">
        <f>-365.28-298.32</f>
        <v>-663.59999999999991</v>
      </c>
      <c r="R12" s="501">
        <f>SUM(D12:Q12)</f>
        <v>-113699.66000000002</v>
      </c>
    </row>
    <row r="13" spans="1:19">
      <c r="A13" s="626"/>
      <c r="B13" s="590"/>
      <c r="C13" s="288" t="s">
        <v>414</v>
      </c>
      <c r="D13" s="502"/>
      <c r="E13" s="503"/>
      <c r="F13" s="503"/>
      <c r="G13" s="503"/>
      <c r="H13" s="503"/>
      <c r="I13" s="503"/>
      <c r="J13" s="503"/>
      <c r="K13" s="503"/>
      <c r="L13" s="503"/>
      <c r="M13" s="503"/>
      <c r="N13" s="503"/>
      <c r="O13" s="503"/>
      <c r="P13" s="503"/>
      <c r="Q13" s="503"/>
      <c r="R13" s="501">
        <v>-22000</v>
      </c>
    </row>
    <row r="14" spans="1:19">
      <c r="A14" s="626"/>
      <c r="B14" s="590"/>
      <c r="C14" s="288" t="s">
        <v>439</v>
      </c>
      <c r="D14" s="502"/>
      <c r="E14" s="503"/>
      <c r="F14" s="503"/>
      <c r="G14" s="503"/>
      <c r="H14" s="503"/>
      <c r="I14" s="503"/>
      <c r="J14" s="503"/>
      <c r="K14" s="503"/>
      <c r="L14" s="503"/>
      <c r="M14" s="503"/>
      <c r="N14" s="503"/>
      <c r="O14" s="503"/>
      <c r="P14" s="503"/>
      <c r="Q14" s="503"/>
      <c r="R14" s="501">
        <v>-130000</v>
      </c>
    </row>
    <row r="15" spans="1:19">
      <c r="A15" s="626"/>
      <c r="B15" s="590"/>
      <c r="C15" s="250" t="s">
        <v>115</v>
      </c>
      <c r="D15" s="504">
        <f>-64.73*D4</f>
        <v>-7537.1612000000005</v>
      </c>
      <c r="E15" s="505">
        <f>-238.36*$D$4</f>
        <v>-27754.6384</v>
      </c>
      <c r="F15" s="505">
        <f>-64.82*$D$4</f>
        <v>-7547.6407999999992</v>
      </c>
      <c r="G15" s="505">
        <f>-37.23*$D$4</f>
        <v>-4335.0611999999992</v>
      </c>
      <c r="H15" s="505">
        <f>-45.33*$D$4</f>
        <v>-5278.2251999999999</v>
      </c>
      <c r="I15" s="505">
        <f>-50.81*$D$4</f>
        <v>-5916.3163999999997</v>
      </c>
      <c r="J15" s="505">
        <f>-120.74*$D$4</f>
        <v>-14058.9656</v>
      </c>
      <c r="K15" s="505">
        <f>-9.88*$D$4</f>
        <v>-1150.4272000000001</v>
      </c>
      <c r="L15" s="505">
        <f>-121.13*$D$4</f>
        <v>-14104.377199999999</v>
      </c>
      <c r="M15" s="505">
        <f>-1.92*$D$4</f>
        <v>-223.56479999999999</v>
      </c>
      <c r="N15" s="505">
        <f>-145.2*$D$4</f>
        <v>-16907.088</v>
      </c>
      <c r="O15" s="505">
        <f>-14.14*$D$4</f>
        <v>-1646.4616000000001</v>
      </c>
      <c r="P15" s="505">
        <f>-128.64*$D$4</f>
        <v>-14978.841599999998</v>
      </c>
      <c r="Q15" s="505">
        <f>-217.53*$D$4</f>
        <v>-25329.193199999998</v>
      </c>
      <c r="R15" s="504">
        <f>SUM(D15:Q15)</f>
        <v>-146767.96239999999</v>
      </c>
    </row>
    <row r="16" spans="1:19">
      <c r="A16" s="626"/>
      <c r="B16" s="590"/>
      <c r="C16" s="83" t="s">
        <v>55</v>
      </c>
      <c r="D16" s="504">
        <f>-109.92*$D$3</f>
        <v>-20774.88</v>
      </c>
      <c r="E16" s="504">
        <f>-594.65*$D$3</f>
        <v>-112388.84999999999</v>
      </c>
      <c r="F16" s="504">
        <f>-187.92*$D$3</f>
        <v>-35516.879999999997</v>
      </c>
      <c r="G16" s="504">
        <f>-77.32*$D$3</f>
        <v>-14613.48</v>
      </c>
      <c r="H16" s="504">
        <f>-84.73*$D$3</f>
        <v>-16013.970000000001</v>
      </c>
      <c r="I16" s="504">
        <f>-131.28*$D$3</f>
        <v>-24811.920000000002</v>
      </c>
      <c r="J16" s="504">
        <f>-358.2*$D$3</f>
        <v>-67699.8</v>
      </c>
      <c r="K16" s="504">
        <f>-39.97*$D$3</f>
        <v>-7554.33</v>
      </c>
      <c r="L16" s="504">
        <f>-339.85*$D$3</f>
        <v>-64231.65</v>
      </c>
      <c r="M16" s="504">
        <f>-12.36*$D$3</f>
        <v>-2336.04</v>
      </c>
      <c r="N16" s="504">
        <f>-433.12*$D$3</f>
        <v>-81859.680000000008</v>
      </c>
      <c r="O16" s="504">
        <f>-57.17*$D$3</f>
        <v>-10805.130000000001</v>
      </c>
      <c r="P16" s="504">
        <f>-314.49*$D$3</f>
        <v>-59438.61</v>
      </c>
      <c r="Q16" s="504">
        <f>-447.12*$D$3</f>
        <v>-84505.680000000008</v>
      </c>
      <c r="R16" s="504">
        <f>SUM(D16:Q16)</f>
        <v>-602550.9</v>
      </c>
    </row>
    <row r="17" spans="1:19">
      <c r="A17" s="626"/>
      <c r="B17" s="590"/>
      <c r="C17" s="83" t="s">
        <v>303</v>
      </c>
      <c r="D17" s="504">
        <f t="shared" ref="D17:L17" si="2">($R$17/$R$10)*D10</f>
        <v>-2203.303417020687</v>
      </c>
      <c r="E17" s="504">
        <f t="shared" si="2"/>
        <v>-15631.282352222503</v>
      </c>
      <c r="F17" s="504">
        <f t="shared" si="2"/>
        <v>-5806.5002032641341</v>
      </c>
      <c r="G17" s="504">
        <f t="shared" si="2"/>
        <v>-1508.6746270880203</v>
      </c>
      <c r="H17" s="504">
        <f t="shared" si="2"/>
        <v>-3311.6776841356968</v>
      </c>
      <c r="I17" s="504">
        <f t="shared" si="2"/>
        <v>-4349.3672207770287</v>
      </c>
      <c r="J17" s="504">
        <f t="shared" si="2"/>
        <v>-6640.1116052256757</v>
      </c>
      <c r="K17" s="504">
        <f t="shared" si="2"/>
        <v>-1157.9260202339606</v>
      </c>
      <c r="L17" s="504">
        <f t="shared" si="2"/>
        <v>-10739.059542514937</v>
      </c>
      <c r="M17" s="504"/>
      <c r="N17" s="504">
        <f>($R$17/$R$10)*N10</f>
        <v>-11778.035755238827</v>
      </c>
      <c r="O17" s="504">
        <f>($R$17/$R$10)*O10</f>
        <v>-2129.7555672323915</v>
      </c>
      <c r="P17" s="504">
        <f>($R$17/$R$10)*P10</f>
        <v>-14601.363129793495</v>
      </c>
      <c r="Q17" s="504">
        <f>($R$17/$R$10)*Q10</f>
        <v>-16543.579670257459</v>
      </c>
      <c r="R17" s="504">
        <f>-35000-'BALANÇ FINAL set25'!T50</f>
        <v>-96998.571700646062</v>
      </c>
    </row>
    <row r="18" spans="1:19" ht="13">
      <c r="A18" s="626"/>
      <c r="B18" s="590"/>
      <c r="C18" s="84" t="s">
        <v>70</v>
      </c>
      <c r="D18" s="506">
        <f>SUM(D19:D23)</f>
        <v>0</v>
      </c>
      <c r="E18" s="506">
        <f t="shared" ref="E18:Q18" si="3">SUM(E19:E23)</f>
        <v>0</v>
      </c>
      <c r="F18" s="506">
        <f t="shared" si="3"/>
        <v>0</v>
      </c>
      <c r="G18" s="506">
        <f t="shared" si="3"/>
        <v>0</v>
      </c>
      <c r="H18" s="506">
        <f t="shared" si="3"/>
        <v>0</v>
      </c>
      <c r="I18" s="506">
        <f t="shared" si="3"/>
        <v>0</v>
      </c>
      <c r="J18" s="506">
        <f t="shared" si="3"/>
        <v>0</v>
      </c>
      <c r="K18" s="506">
        <f t="shared" si="3"/>
        <v>0</v>
      </c>
      <c r="L18" s="506">
        <f t="shared" si="3"/>
        <v>0</v>
      </c>
      <c r="M18" s="506"/>
      <c r="N18" s="506">
        <f t="shared" si="3"/>
        <v>0</v>
      </c>
      <c r="O18" s="506">
        <f t="shared" si="3"/>
        <v>0</v>
      </c>
      <c r="P18" s="506">
        <f t="shared" si="3"/>
        <v>0</v>
      </c>
      <c r="Q18" s="506">
        <f t="shared" si="3"/>
        <v>0</v>
      </c>
      <c r="R18" s="506">
        <f>SUM(R19:R23)</f>
        <v>1041463.0109999999</v>
      </c>
    </row>
    <row r="19" spans="1:19">
      <c r="A19" s="626"/>
      <c r="B19" s="590"/>
      <c r="C19" s="83" t="s">
        <v>304</v>
      </c>
      <c r="D19" s="507"/>
      <c r="E19" s="507"/>
      <c r="F19" s="507"/>
      <c r="G19" s="507"/>
      <c r="H19" s="507"/>
      <c r="I19" s="507"/>
      <c r="J19" s="507"/>
      <c r="K19" s="507"/>
      <c r="L19" s="507"/>
      <c r="M19" s="507"/>
      <c r="N19" s="507"/>
      <c r="O19" s="507"/>
      <c r="P19" s="507"/>
      <c r="Q19" s="507"/>
      <c r="R19" s="504">
        <f>179495.48+106332.12+(241861.59)</f>
        <v>527689.18999999994</v>
      </c>
    </row>
    <row r="20" spans="1:19">
      <c r="A20" s="626"/>
      <c r="B20" s="590"/>
      <c r="C20" s="83" t="s">
        <v>308</v>
      </c>
      <c r="D20" s="507"/>
      <c r="E20" s="507"/>
      <c r="F20" s="507"/>
      <c r="G20" s="507"/>
      <c r="H20" s="507"/>
      <c r="I20" s="507"/>
      <c r="J20" s="507"/>
      <c r="K20" s="507"/>
      <c r="L20" s="507"/>
      <c r="M20" s="507"/>
      <c r="N20" s="507"/>
      <c r="O20" s="507"/>
      <c r="P20" s="507"/>
      <c r="Q20" s="507"/>
      <c r="R20" s="504">
        <f>42237.7*1.1</f>
        <v>46461.47</v>
      </c>
    </row>
    <row r="21" spans="1:19">
      <c r="A21" s="626"/>
      <c r="B21" s="590"/>
      <c r="C21" s="83" t="s">
        <v>306</v>
      </c>
      <c r="D21" s="507"/>
      <c r="E21" s="507"/>
      <c r="F21" s="507"/>
      <c r="G21" s="507"/>
      <c r="H21" s="507"/>
      <c r="I21" s="507"/>
      <c r="J21" s="507"/>
      <c r="K21" s="507"/>
      <c r="L21" s="507"/>
      <c r="M21" s="507"/>
      <c r="N21" s="507"/>
      <c r="O21" s="507"/>
      <c r="P21" s="507"/>
      <c r="Q21" s="507"/>
      <c r="R21" s="504">
        <f>1.1*31761.13</f>
        <v>34937.243000000002</v>
      </c>
    </row>
    <row r="22" spans="1:19">
      <c r="A22" s="626"/>
      <c r="B22" s="590"/>
      <c r="C22" s="83" t="s">
        <v>305</v>
      </c>
      <c r="D22" s="507"/>
      <c r="E22" s="507"/>
      <c r="F22" s="507"/>
      <c r="G22" s="507"/>
      <c r="H22" s="507"/>
      <c r="I22" s="507"/>
      <c r="J22" s="507"/>
      <c r="K22" s="507"/>
      <c r="L22" s="507"/>
      <c r="M22" s="507"/>
      <c r="N22" s="507"/>
      <c r="O22" s="507"/>
      <c r="P22" s="507"/>
      <c r="Q22" s="507"/>
      <c r="R22" s="504">
        <f>1.1*335893.02</f>
        <v>369482.32200000004</v>
      </c>
    </row>
    <row r="23" spans="1:19">
      <c r="A23" s="626"/>
      <c r="B23" s="590"/>
      <c r="C23" s="83" t="s">
        <v>307</v>
      </c>
      <c r="D23" s="507"/>
      <c r="E23" s="507"/>
      <c r="F23" s="507"/>
      <c r="G23" s="507"/>
      <c r="H23" s="507"/>
      <c r="I23" s="507"/>
      <c r="J23" s="507"/>
      <c r="K23" s="507"/>
      <c r="L23" s="507"/>
      <c r="M23" s="507"/>
      <c r="N23" s="507"/>
      <c r="O23" s="507"/>
      <c r="P23" s="507"/>
      <c r="Q23" s="507"/>
      <c r="R23" s="504">
        <f>1.1*57175.26</f>
        <v>62892.786000000007</v>
      </c>
    </row>
    <row r="24" spans="1:19" ht="13">
      <c r="A24" s="626"/>
      <c r="B24" s="590"/>
      <c r="C24" s="251" t="s">
        <v>133</v>
      </c>
      <c r="D24" s="508">
        <f>+D9+D18</f>
        <v>-89325.703573020684</v>
      </c>
      <c r="E24" s="508">
        <f t="shared" ref="E24:Q24" si="4">+E9+E18</f>
        <v>-615489.04424022255</v>
      </c>
      <c r="F24" s="508">
        <f t="shared" si="4"/>
        <v>-203839.63511526413</v>
      </c>
      <c r="G24" s="508">
        <f t="shared" si="4"/>
        <v>-60822.573291088011</v>
      </c>
      <c r="H24" s="508">
        <f t="shared" si="4"/>
        <v>-118125.5906561357</v>
      </c>
      <c r="I24" s="508">
        <f t="shared" si="4"/>
        <v>-156003.06190877705</v>
      </c>
      <c r="J24" s="508">
        <f t="shared" si="4"/>
        <v>-266317.32118122565</v>
      </c>
      <c r="K24" s="508">
        <f t="shared" si="4"/>
        <v>-40332.68110023396</v>
      </c>
      <c r="L24" s="508">
        <f>+L9+L18</f>
        <v>-386678.96405451489</v>
      </c>
      <c r="M24" s="508">
        <f>+M9+M18</f>
        <v>-18293.835648</v>
      </c>
      <c r="N24" s="508">
        <f t="shared" si="4"/>
        <v>-448602.57954723877</v>
      </c>
      <c r="O24" s="508">
        <f t="shared" si="4"/>
        <v>-70624.346879232398</v>
      </c>
      <c r="P24" s="508">
        <f t="shared" si="4"/>
        <v>-475037.53798179346</v>
      </c>
      <c r="Q24" s="509">
        <f t="shared" si="4"/>
        <v>-562374.56001825747</v>
      </c>
      <c r="R24" s="509">
        <f>+R9+R18</f>
        <v>-2623002.3591006463</v>
      </c>
    </row>
    <row r="25" spans="1:19" ht="17.25" customHeight="1">
      <c r="A25" s="626"/>
      <c r="B25" s="627" t="s">
        <v>413</v>
      </c>
      <c r="C25" s="252" t="s">
        <v>73</v>
      </c>
      <c r="D25" s="510">
        <f>1.1*-3672.2</f>
        <v>-4039.42</v>
      </c>
      <c r="E25" s="511">
        <f>1.1*-18592.34</f>
        <v>-20451.574000000001</v>
      </c>
      <c r="F25" s="511">
        <f>1.1*-5772.8</f>
        <v>-6350.0800000000008</v>
      </c>
      <c r="G25" s="511">
        <f>1.1*-2979.09</f>
        <v>-3276.9990000000003</v>
      </c>
      <c r="H25" s="511">
        <f>1.1*-3874</f>
        <v>-4261.4000000000005</v>
      </c>
      <c r="I25" s="511">
        <f>1.1*-4162.2</f>
        <v>-4578.42</v>
      </c>
      <c r="J25" s="511">
        <f>1.1*-13625.91</f>
        <v>-14988.501</v>
      </c>
      <c r="K25" s="511">
        <f>1.1*-2545.72</f>
        <v>-2800.2919999999999</v>
      </c>
      <c r="L25" s="511">
        <f>1.1*-16126.02</f>
        <v>-17738.622000000003</v>
      </c>
      <c r="M25" s="511">
        <f>1.1*-2157.86</f>
        <v>-2373.6460000000002</v>
      </c>
      <c r="N25" s="511"/>
      <c r="O25" s="511">
        <f>1.1*-2907.59</f>
        <v>-3198.3490000000006</v>
      </c>
      <c r="P25" s="511">
        <f>-15385.4*1.1</f>
        <v>-16923.940000000002</v>
      </c>
      <c r="Q25" s="511">
        <f>1.1*-13636.1794</f>
        <v>-14999.797340000003</v>
      </c>
      <c r="R25" s="504">
        <f t="shared" ref="R25:R33" si="5">SUM(D25:Q25)</f>
        <v>-115981.04034000001</v>
      </c>
    </row>
    <row r="26" spans="1:19">
      <c r="A26" s="626"/>
      <c r="B26" s="627"/>
      <c r="C26" s="252" t="s">
        <v>415</v>
      </c>
      <c r="D26" s="512"/>
      <c r="E26" s="511">
        <v>-35310.83</v>
      </c>
      <c r="F26" s="512"/>
      <c r="G26" s="512"/>
      <c r="H26" s="512"/>
      <c r="I26" s="511"/>
      <c r="J26" s="511"/>
      <c r="K26" s="512"/>
      <c r="L26" s="511">
        <f>-33*18.94*12</f>
        <v>-7500.2400000000016</v>
      </c>
      <c r="M26" s="512"/>
      <c r="N26" s="511">
        <f>-80*18.94*12</f>
        <v>-18182.400000000001</v>
      </c>
      <c r="O26" s="512"/>
      <c r="P26" s="511">
        <f>(-70*18.94*12)</f>
        <v>-15909.600000000002</v>
      </c>
      <c r="Q26" s="511">
        <f>-30*18.94*12</f>
        <v>-6818.4000000000005</v>
      </c>
      <c r="R26" s="504">
        <f t="shared" si="5"/>
        <v>-83721.47</v>
      </c>
    </row>
    <row r="27" spans="1:19">
      <c r="A27" s="626"/>
      <c r="B27" s="627"/>
      <c r="C27" s="252" t="s">
        <v>416</v>
      </c>
      <c r="D27" s="512"/>
      <c r="E27" s="511"/>
      <c r="F27" s="512"/>
      <c r="G27" s="512"/>
      <c r="H27" s="511">
        <f>-6000</f>
        <v>-6000</v>
      </c>
      <c r="I27" s="511">
        <v>-1600</v>
      </c>
      <c r="J27" s="512"/>
      <c r="K27" s="512"/>
      <c r="L27" s="511"/>
      <c r="M27" s="512"/>
      <c r="N27" s="511"/>
      <c r="O27" s="512"/>
      <c r="P27" s="511"/>
      <c r="Q27" s="511">
        <f>+(-2437.02-3335.55)</f>
        <v>-5772.57</v>
      </c>
      <c r="R27" s="504">
        <f t="shared" si="5"/>
        <v>-13372.57</v>
      </c>
    </row>
    <row r="28" spans="1:19">
      <c r="A28" s="626"/>
      <c r="B28" s="627"/>
      <c r="C28" s="252" t="s">
        <v>309</v>
      </c>
      <c r="D28" s="513"/>
      <c r="E28" s="511">
        <f>-817.44*2*1.1</f>
        <v>-1798.3680000000002</v>
      </c>
      <c r="F28" s="512"/>
      <c r="G28" s="512"/>
      <c r="H28" s="511">
        <f>-(1354.28*2*1.1)*0.5</f>
        <v>-1489.7080000000001</v>
      </c>
      <c r="I28" s="511">
        <f>-121.97*2*1.1</f>
        <v>-268.334</v>
      </c>
      <c r="J28" s="512"/>
      <c r="K28" s="512"/>
      <c r="L28" s="511">
        <f>-336.46*2*1.1</f>
        <v>-740.21199999999999</v>
      </c>
      <c r="M28" s="512"/>
      <c r="N28" s="511">
        <f>-815.24*2*1.1</f>
        <v>-1793.5280000000002</v>
      </c>
      <c r="O28" s="512"/>
      <c r="P28" s="511">
        <f>-774.62*2*1.1</f>
        <v>-1704.1640000000002</v>
      </c>
      <c r="Q28" s="511">
        <f>-425.39*2*1.1</f>
        <v>-935.85800000000006</v>
      </c>
      <c r="R28" s="504">
        <f t="shared" si="5"/>
        <v>-8730.1720000000005</v>
      </c>
      <c r="S28" t="s">
        <v>417</v>
      </c>
    </row>
    <row r="29" spans="1:19">
      <c r="A29" s="626"/>
      <c r="B29" s="627"/>
      <c r="C29" s="252" t="s">
        <v>310</v>
      </c>
      <c r="D29" s="510">
        <f>-536.14*2</f>
        <v>-1072.28</v>
      </c>
      <c r="E29" s="511">
        <f>-1909.59*2</f>
        <v>-3819.18</v>
      </c>
      <c r="F29" s="511">
        <f>-660.99*2</f>
        <v>-1321.98</v>
      </c>
      <c r="G29" s="511">
        <f>-262.86*2</f>
        <v>-525.72</v>
      </c>
      <c r="H29" s="511">
        <f>-608.5*2</f>
        <v>-1217</v>
      </c>
      <c r="I29" s="511">
        <f>-361.22*2</f>
        <v>-722.44</v>
      </c>
      <c r="J29" s="511">
        <f>-1837.42*2</f>
        <v>-3674.84</v>
      </c>
      <c r="K29" s="511">
        <f>-205.19*2</f>
        <v>-410.38</v>
      </c>
      <c r="L29" s="511">
        <f>-1756.41*2</f>
        <v>-3512.82</v>
      </c>
      <c r="M29" s="511"/>
      <c r="N29" s="511"/>
      <c r="O29" s="511">
        <f>-246.74*2</f>
        <v>-493.48</v>
      </c>
      <c r="P29" s="511">
        <f>-1670.21*2</f>
        <v>-3340.42</v>
      </c>
      <c r="Q29" s="511">
        <f>-864.33*2</f>
        <v>-1728.66</v>
      </c>
      <c r="R29" s="504">
        <f t="shared" si="5"/>
        <v>-21839.200000000001</v>
      </c>
      <c r="S29" t="s">
        <v>418</v>
      </c>
    </row>
    <row r="30" spans="1:19">
      <c r="A30" s="626"/>
      <c r="B30" s="627"/>
      <c r="C30" s="252" t="s">
        <v>75</v>
      </c>
      <c r="D30" s="512"/>
      <c r="E30" s="511">
        <v>-44780.29</v>
      </c>
      <c r="F30" s="511">
        <v>-15740.51</v>
      </c>
      <c r="G30" s="511">
        <v>-4336.8900000000003</v>
      </c>
      <c r="H30" s="511">
        <f>((-3216.31/12)*9)-((1059.48/12)*3)</f>
        <v>-2677.1024999999995</v>
      </c>
      <c r="I30" s="511">
        <v>-7358.98</v>
      </c>
      <c r="J30" s="511">
        <v>-9887.9599999999991</v>
      </c>
      <c r="K30" s="511">
        <v>-2379.23</v>
      </c>
      <c r="L30" s="512"/>
      <c r="M30" s="511">
        <v>-551.23</v>
      </c>
      <c r="N30" s="511">
        <v>-53234.59</v>
      </c>
      <c r="O30" s="511">
        <v>-2744.57</v>
      </c>
      <c r="P30" s="511">
        <f>((-19988.68/12)*9)-((16077.78/12)*3)</f>
        <v>-19010.955000000002</v>
      </c>
      <c r="Q30" s="511">
        <f>(-25800.73/12)*3-((34439.97/12)*9)</f>
        <v>-32280.160000000003</v>
      </c>
      <c r="R30" s="504">
        <f t="shared" si="5"/>
        <v>-194982.4675</v>
      </c>
      <c r="S30" s="20"/>
    </row>
    <row r="31" spans="1:19">
      <c r="A31" s="626"/>
      <c r="B31" s="627"/>
      <c r="C31" s="252" t="s">
        <v>357</v>
      </c>
      <c r="D31" s="510"/>
      <c r="E31" s="510"/>
      <c r="F31" s="511"/>
      <c r="G31" s="511">
        <v>-3525.12</v>
      </c>
      <c r="H31" s="511">
        <v>-3525.12</v>
      </c>
      <c r="I31" s="511">
        <v>-1175.04</v>
      </c>
      <c r="J31" s="511">
        <v>-4524</v>
      </c>
      <c r="K31" s="511"/>
      <c r="L31" s="511"/>
      <c r="M31" s="511"/>
      <c r="N31" s="511"/>
      <c r="O31" s="511"/>
      <c r="P31" s="511"/>
      <c r="Q31" s="511"/>
      <c r="R31" s="504">
        <f t="shared" si="5"/>
        <v>-12749.279999999999</v>
      </c>
    </row>
    <row r="32" spans="1:19">
      <c r="A32" s="626"/>
      <c r="B32" s="627"/>
      <c r="C32" s="252" t="s">
        <v>74</v>
      </c>
      <c r="D32" s="510">
        <v>0</v>
      </c>
      <c r="E32" s="511">
        <v>0</v>
      </c>
      <c r="F32" s="511">
        <v>0</v>
      </c>
      <c r="G32" s="511"/>
      <c r="H32" s="511"/>
      <c r="I32" s="511">
        <v>0</v>
      </c>
      <c r="J32" s="511">
        <v>0</v>
      </c>
      <c r="K32" s="511">
        <v>0</v>
      </c>
      <c r="L32" s="511"/>
      <c r="M32" s="511"/>
      <c r="N32" s="511"/>
      <c r="O32" s="511"/>
      <c r="P32" s="511">
        <v>0</v>
      </c>
      <c r="Q32" s="511"/>
      <c r="R32" s="504">
        <f t="shared" si="5"/>
        <v>0</v>
      </c>
    </row>
    <row r="33" spans="1:19">
      <c r="A33" s="626"/>
      <c r="B33" s="627"/>
      <c r="C33" s="252" t="s">
        <v>127</v>
      </c>
      <c r="D33" s="513"/>
      <c r="E33" s="518">
        <f>-4394.52*2</f>
        <v>-8789.0400000000009</v>
      </c>
      <c r="F33" s="511">
        <f>-600</f>
        <v>-600</v>
      </c>
      <c r="G33" s="511"/>
      <c r="H33" s="512"/>
      <c r="I33" s="511">
        <f>-262.06*2</f>
        <v>-524.12</v>
      </c>
      <c r="J33" s="511">
        <v>2774</v>
      </c>
      <c r="K33" s="511">
        <f>-92.8*2</f>
        <v>-185.6</v>
      </c>
      <c r="L33" s="511">
        <f>-4000-500-Extres!D45-Extres!D46-Extres!D48</f>
        <v>-6272.16</v>
      </c>
      <c r="M33" s="512"/>
      <c r="N33" s="511">
        <f>-731.4-1352.52-800</f>
        <v>-2883.92</v>
      </c>
      <c r="O33" s="512"/>
      <c r="P33" s="511">
        <f>-731.4-4255</f>
        <v>-4986.3999999999996</v>
      </c>
      <c r="Q33" s="511">
        <f>-5989.58</f>
        <v>-5989.58</v>
      </c>
      <c r="R33" s="504">
        <f t="shared" si="5"/>
        <v>-27456.820000000007</v>
      </c>
    </row>
    <row r="34" spans="1:19" ht="13">
      <c r="A34" s="626"/>
      <c r="B34" s="628"/>
      <c r="C34" s="85" t="s">
        <v>134</v>
      </c>
      <c r="D34" s="514">
        <f>SUM(D25:D33)</f>
        <v>-5111.7</v>
      </c>
      <c r="E34" s="514">
        <f t="shared" ref="E34:Q34" si="6">SUM(E25:E33)</f>
        <v>-114949.28200000001</v>
      </c>
      <c r="F34" s="514">
        <f t="shared" si="6"/>
        <v>-24012.57</v>
      </c>
      <c r="G34" s="514">
        <f>SUM(G25:G33)</f>
        <v>-11664.728999999999</v>
      </c>
      <c r="H34" s="514">
        <f t="shared" si="6"/>
        <v>-19170.3305</v>
      </c>
      <c r="I34" s="514">
        <f t="shared" si="6"/>
        <v>-16227.334000000001</v>
      </c>
      <c r="J34" s="514">
        <f t="shared" si="6"/>
        <v>-30301.300999999999</v>
      </c>
      <c r="K34" s="514">
        <f t="shared" si="6"/>
        <v>-5775.5020000000004</v>
      </c>
      <c r="L34" s="514">
        <f t="shared" si="6"/>
        <v>-35764.054000000004</v>
      </c>
      <c r="M34" s="514">
        <f t="shared" si="6"/>
        <v>-2924.8760000000002</v>
      </c>
      <c r="N34" s="514">
        <f>SUM(N25:N33)</f>
        <v>-76094.437999999995</v>
      </c>
      <c r="O34" s="514">
        <f t="shared" si="6"/>
        <v>-6436.3990000000013</v>
      </c>
      <c r="P34" s="514">
        <f t="shared" si="6"/>
        <v>-61875.479000000007</v>
      </c>
      <c r="Q34" s="514">
        <f t="shared" si="6"/>
        <v>-68525.025340000007</v>
      </c>
      <c r="R34" s="514">
        <f>SUM(R25:R33)</f>
        <v>-478833.01984000002</v>
      </c>
    </row>
    <row r="35" spans="1:19" ht="12.75" customHeight="1">
      <c r="A35" s="626"/>
      <c r="B35" s="88" t="s">
        <v>14</v>
      </c>
      <c r="C35" s="90" t="s">
        <v>102</v>
      </c>
      <c r="D35" s="515">
        <f>D24+D34</f>
        <v>-94437.403573020682</v>
      </c>
      <c r="E35" s="515">
        <f>E24+E34</f>
        <v>-730438.32624022255</v>
      </c>
      <c r="F35" s="515">
        <f t="shared" ref="F35:R35" si="7">F24+F34</f>
        <v>-227852.20511526414</v>
      </c>
      <c r="G35" s="515">
        <f t="shared" si="7"/>
        <v>-72487.30229108801</v>
      </c>
      <c r="H35" s="515">
        <f t="shared" si="7"/>
        <v>-137295.92115613571</v>
      </c>
      <c r="I35" s="515">
        <f t="shared" si="7"/>
        <v>-172230.39590877705</v>
      </c>
      <c r="J35" s="515">
        <f t="shared" si="7"/>
        <v>-296618.62218122563</v>
      </c>
      <c r="K35" s="515">
        <f t="shared" si="7"/>
        <v>-46108.18310023396</v>
      </c>
      <c r="L35" s="515">
        <f t="shared" si="7"/>
        <v>-422443.01805451489</v>
      </c>
      <c r="M35" s="515"/>
      <c r="N35" s="515">
        <f t="shared" si="7"/>
        <v>-524697.01754723873</v>
      </c>
      <c r="O35" s="515">
        <f t="shared" si="7"/>
        <v>-77060.745879232403</v>
      </c>
      <c r="P35" s="515">
        <f t="shared" si="7"/>
        <v>-536913.01698179345</v>
      </c>
      <c r="Q35" s="515">
        <f t="shared" si="7"/>
        <v>-630899.58535825752</v>
      </c>
      <c r="R35" s="516">
        <f t="shared" si="7"/>
        <v>-3101835.3789406465</v>
      </c>
      <c r="S35" s="205"/>
    </row>
    <row r="36" spans="1:19" ht="12.75" customHeight="1">
      <c r="A36" s="294"/>
      <c r="B36" s="295"/>
      <c r="C36" s="296"/>
      <c r="D36" s="297" t="s">
        <v>32</v>
      </c>
      <c r="E36" s="297" t="s">
        <v>38</v>
      </c>
      <c r="F36" s="297" t="s">
        <v>37</v>
      </c>
      <c r="G36" s="297" t="s">
        <v>39</v>
      </c>
      <c r="H36" s="297" t="s">
        <v>40</v>
      </c>
      <c r="I36" s="297" t="s">
        <v>41</v>
      </c>
      <c r="J36" s="297" t="s">
        <v>42</v>
      </c>
      <c r="K36" s="297" t="s">
        <v>43</v>
      </c>
      <c r="L36" s="297" t="s">
        <v>45</v>
      </c>
      <c r="M36" s="297"/>
      <c r="N36" s="297" t="s">
        <v>46</v>
      </c>
      <c r="O36" s="297" t="s">
        <v>47</v>
      </c>
      <c r="P36" s="297" t="s">
        <v>48</v>
      </c>
      <c r="Q36" s="298" t="s">
        <v>49</v>
      </c>
      <c r="R36" s="298"/>
      <c r="S36" s="205"/>
    </row>
    <row r="37" spans="1:19" ht="12.75" customHeight="1">
      <c r="A37" s="630" t="s">
        <v>28</v>
      </c>
      <c r="B37" s="631" t="s">
        <v>14</v>
      </c>
      <c r="C37" s="92" t="s">
        <v>135</v>
      </c>
      <c r="D37" s="93"/>
      <c r="E37" s="93"/>
      <c r="F37" s="93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  <c r="R37" s="95"/>
    </row>
    <row r="38" spans="1:19" ht="12.75" customHeight="1">
      <c r="A38" s="630"/>
      <c r="B38" s="632"/>
      <c r="C38" s="96" t="s">
        <v>136</v>
      </c>
      <c r="D38" s="91"/>
      <c r="E38" s="91"/>
      <c r="F38" s="91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8"/>
      <c r="R38" s="98"/>
    </row>
    <row r="39" spans="1:19" ht="12.75" customHeight="1">
      <c r="A39" s="630"/>
      <c r="B39" s="632"/>
      <c r="C39" s="96" t="s">
        <v>137</v>
      </c>
      <c r="D39" s="91"/>
      <c r="E39" s="91"/>
      <c r="F39" s="91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8"/>
      <c r="R39" s="98"/>
    </row>
    <row r="40" spans="1:19" ht="12.75" customHeight="1">
      <c r="A40" s="630"/>
      <c r="B40" s="632"/>
      <c r="C40" s="96"/>
      <c r="D40" s="91"/>
      <c r="E40" s="91"/>
      <c r="F40" s="91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8"/>
      <c r="R40" s="98"/>
    </row>
    <row r="41" spans="1:19" ht="12.75" customHeight="1">
      <c r="A41" s="630"/>
      <c r="B41" s="632"/>
      <c r="C41" s="96"/>
      <c r="D41" s="91"/>
      <c r="E41" s="91"/>
      <c r="F41" s="91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8"/>
      <c r="R41" s="98"/>
    </row>
    <row r="42" spans="1:19" ht="12.75" customHeight="1">
      <c r="A42" s="630"/>
      <c r="B42" s="632"/>
      <c r="C42" s="99"/>
      <c r="D42" s="91"/>
      <c r="E42" s="91"/>
      <c r="F42" s="91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8"/>
      <c r="R42" s="98"/>
      <c r="S42" s="20"/>
    </row>
    <row r="43" spans="1:19" ht="12.75" customHeight="1">
      <c r="A43" s="630"/>
      <c r="B43" s="632"/>
      <c r="C43" s="99"/>
      <c r="D43" s="91"/>
      <c r="E43" s="91"/>
      <c r="F43" s="91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8"/>
      <c r="R43" s="98"/>
      <c r="S43" s="20"/>
    </row>
    <row r="44" spans="1:19" ht="12.75" customHeight="1">
      <c r="A44" s="630"/>
      <c r="B44" s="633"/>
      <c r="C44" s="100"/>
      <c r="D44" s="101"/>
      <c r="E44" s="101"/>
      <c r="F44" s="101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3"/>
      <c r="R44" s="103"/>
      <c r="S44" s="20"/>
    </row>
    <row r="45" spans="1:19" ht="12.75" customHeight="1">
      <c r="A45" s="493"/>
      <c r="B45" s="86"/>
      <c r="C45" s="89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20"/>
    </row>
    <row r="46" spans="1:19" ht="12.75" customHeight="1" thickBot="1">
      <c r="A46" s="105"/>
      <c r="B46" s="105"/>
      <c r="C46" s="105"/>
      <c r="D46" s="87" t="s">
        <v>32</v>
      </c>
      <c r="E46" s="87" t="s">
        <v>38</v>
      </c>
      <c r="F46" s="87" t="s">
        <v>37</v>
      </c>
      <c r="G46" s="87" t="s">
        <v>39</v>
      </c>
      <c r="H46" s="87" t="s">
        <v>40</v>
      </c>
      <c r="I46" s="87" t="s">
        <v>41</v>
      </c>
      <c r="J46" s="87" t="s">
        <v>42</v>
      </c>
      <c r="K46" s="87" t="s">
        <v>43</v>
      </c>
      <c r="L46" s="87" t="s">
        <v>45</v>
      </c>
      <c r="M46" s="87" t="s">
        <v>411</v>
      </c>
      <c r="N46" s="87" t="s">
        <v>46</v>
      </c>
      <c r="O46" s="87" t="s">
        <v>47</v>
      </c>
      <c r="P46" s="87" t="s">
        <v>48</v>
      </c>
      <c r="Q46" s="87" t="s">
        <v>49</v>
      </c>
      <c r="R46" s="87" t="s">
        <v>14</v>
      </c>
      <c r="S46" s="20"/>
    </row>
    <row r="47" spans="1:19" ht="12.75" customHeight="1">
      <c r="A47" s="108" t="s">
        <v>422</v>
      </c>
      <c r="B47" s="109"/>
      <c r="C47" s="109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1"/>
      <c r="S47" s="20"/>
    </row>
    <row r="48" spans="1:19" ht="12.75" customHeight="1">
      <c r="A48" s="112" t="s">
        <v>140</v>
      </c>
      <c r="B48" s="113"/>
      <c r="C48" s="113"/>
      <c r="D48" s="114">
        <f t="shared" ref="D48:R48" si="8">D34</f>
        <v>-5111.7</v>
      </c>
      <c r="E48" s="114">
        <f t="shared" si="8"/>
        <v>-114949.28200000001</v>
      </c>
      <c r="F48" s="114">
        <f t="shared" si="8"/>
        <v>-24012.57</v>
      </c>
      <c r="G48" s="114">
        <f t="shared" si="8"/>
        <v>-11664.728999999999</v>
      </c>
      <c r="H48" s="114">
        <f t="shared" si="8"/>
        <v>-19170.3305</v>
      </c>
      <c r="I48" s="114">
        <f t="shared" si="8"/>
        <v>-16227.334000000001</v>
      </c>
      <c r="J48" s="114">
        <f t="shared" si="8"/>
        <v>-30301.300999999999</v>
      </c>
      <c r="K48" s="114">
        <f t="shared" si="8"/>
        <v>-5775.5020000000004</v>
      </c>
      <c r="L48" s="114">
        <f t="shared" si="8"/>
        <v>-35764.054000000004</v>
      </c>
      <c r="M48" s="114">
        <f t="shared" si="8"/>
        <v>-2924.8760000000002</v>
      </c>
      <c r="N48" s="114">
        <f t="shared" si="8"/>
        <v>-76094.437999999995</v>
      </c>
      <c r="O48" s="114">
        <f t="shared" si="8"/>
        <v>-6436.3990000000013</v>
      </c>
      <c r="P48" s="114">
        <f t="shared" si="8"/>
        <v>-61875.479000000007</v>
      </c>
      <c r="Q48" s="114">
        <f t="shared" si="8"/>
        <v>-68525.025340000007</v>
      </c>
      <c r="R48" s="215">
        <f t="shared" si="8"/>
        <v>-478833.01984000002</v>
      </c>
      <c r="S48" s="20"/>
    </row>
    <row r="49" spans="1:21" ht="12.75" customHeight="1">
      <c r="A49" s="112" t="s">
        <v>361</v>
      </c>
      <c r="B49" s="113"/>
      <c r="C49" s="113"/>
      <c r="D49" s="114">
        <f>D48*0.85</f>
        <v>-4344.9449999999997</v>
      </c>
      <c r="E49" s="114">
        <f t="shared" ref="E49:R49" si="9">E48*0.85</f>
        <v>-97706.8897</v>
      </c>
      <c r="F49" s="114">
        <f t="shared" si="9"/>
        <v>-20410.684499999999</v>
      </c>
      <c r="G49" s="114">
        <f t="shared" si="9"/>
        <v>-9915.0196499999984</v>
      </c>
      <c r="H49" s="114">
        <f t="shared" si="9"/>
        <v>-16294.780924999999</v>
      </c>
      <c r="I49" s="114">
        <f t="shared" si="9"/>
        <v>-13793.233900000001</v>
      </c>
      <c r="J49" s="114">
        <f t="shared" si="9"/>
        <v>-25756.10585</v>
      </c>
      <c r="K49" s="114">
        <f t="shared" si="9"/>
        <v>-4909.1767</v>
      </c>
      <c r="L49" s="114">
        <f t="shared" si="9"/>
        <v>-30399.445900000002</v>
      </c>
      <c r="M49" s="114">
        <f t="shared" si="9"/>
        <v>-2486.1446000000001</v>
      </c>
      <c r="N49" s="114">
        <f t="shared" si="9"/>
        <v>-64680.272299999997</v>
      </c>
      <c r="O49" s="114">
        <f t="shared" si="9"/>
        <v>-5470.9391500000011</v>
      </c>
      <c r="P49" s="114">
        <f t="shared" si="9"/>
        <v>-52594.157150000006</v>
      </c>
      <c r="Q49" s="114">
        <f t="shared" si="9"/>
        <v>-58246.271539000001</v>
      </c>
      <c r="R49" s="215">
        <f t="shared" si="9"/>
        <v>-407008.06686399999</v>
      </c>
      <c r="S49" s="20"/>
    </row>
    <row r="50" spans="1:21" ht="12.75" customHeight="1">
      <c r="A50" s="112" t="s">
        <v>139</v>
      </c>
      <c r="B50" s="113"/>
      <c r="C50" s="113"/>
      <c r="D50" s="218">
        <v>278</v>
      </c>
      <c r="E50" s="218">
        <v>2108</v>
      </c>
      <c r="F50" s="218">
        <v>776</v>
      </c>
      <c r="G50" s="218">
        <v>203</v>
      </c>
      <c r="H50" s="218">
        <v>438</v>
      </c>
      <c r="I50" s="218">
        <v>529</v>
      </c>
      <c r="J50" s="218">
        <v>1032</v>
      </c>
      <c r="K50" s="218">
        <v>169</v>
      </c>
      <c r="L50" s="218">
        <v>1547</v>
      </c>
      <c r="M50" s="218">
        <v>81</v>
      </c>
      <c r="N50" s="218">
        <v>1525</v>
      </c>
      <c r="O50" s="218">
        <v>231</v>
      </c>
      <c r="P50" s="218">
        <v>1425</v>
      </c>
      <c r="Q50" s="218">
        <v>2229</v>
      </c>
      <c r="R50" s="219">
        <v>12768</v>
      </c>
      <c r="S50" s="20"/>
    </row>
    <row r="51" spans="1:21" ht="12.75" customHeight="1" thickBot="1">
      <c r="A51" s="115" t="s">
        <v>364</v>
      </c>
      <c r="B51" s="116"/>
      <c r="C51" s="116"/>
      <c r="D51" s="154">
        <f>D49/D50</f>
        <v>-15.629298561151078</v>
      </c>
      <c r="E51" s="154">
        <f>E49/E50</f>
        <v>-46.350516935483874</v>
      </c>
      <c r="F51" s="154">
        <f t="shared" ref="F51:R51" si="10">F49/F50</f>
        <v>-26.302428479381444</v>
      </c>
      <c r="G51" s="154">
        <f>G49/G50</f>
        <v>-48.842461330049254</v>
      </c>
      <c r="H51" s="154">
        <f t="shared" si="10"/>
        <v>-37.202696175799083</v>
      </c>
      <c r="I51" s="154">
        <f t="shared" si="10"/>
        <v>-26.07416616257089</v>
      </c>
      <c r="J51" s="154">
        <f t="shared" si="10"/>
        <v>-24.957466908914729</v>
      </c>
      <c r="K51" s="154">
        <f t="shared" si="10"/>
        <v>-29.048382840236687</v>
      </c>
      <c r="L51" s="154">
        <f t="shared" si="10"/>
        <v>-19.650579120879122</v>
      </c>
      <c r="M51" s="154">
        <f t="shared" si="10"/>
        <v>-30.693143209876546</v>
      </c>
      <c r="N51" s="154">
        <f t="shared" si="10"/>
        <v>-42.413293311475407</v>
      </c>
      <c r="O51" s="154">
        <f t="shared" si="10"/>
        <v>-23.683719264069268</v>
      </c>
      <c r="P51" s="154">
        <f t="shared" si="10"/>
        <v>-36.908180456140357</v>
      </c>
      <c r="Q51" s="154">
        <f t="shared" si="10"/>
        <v>-26.131122269627635</v>
      </c>
      <c r="R51" s="216">
        <f t="shared" si="10"/>
        <v>-31.877198219298243</v>
      </c>
      <c r="S51" s="20"/>
    </row>
    <row r="52" spans="1:21" ht="12.75" customHeight="1"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20"/>
    </row>
    <row r="53" spans="1:21" s="157" customFormat="1" ht="12.75" customHeight="1">
      <c r="A53"/>
      <c r="B53"/>
      <c r="C53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6"/>
      <c r="T53"/>
    </row>
    <row r="54" spans="1:21" ht="12.75" hidden="1" customHeight="1"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20"/>
    </row>
    <row r="55" spans="1:21" ht="12.75" hidden="1" customHeight="1">
      <c r="A55" t="s">
        <v>146</v>
      </c>
      <c r="D55" s="87" t="s">
        <v>32</v>
      </c>
      <c r="E55" s="87" t="s">
        <v>38</v>
      </c>
      <c r="F55" s="87" t="s">
        <v>37</v>
      </c>
      <c r="G55" s="87" t="s">
        <v>39</v>
      </c>
      <c r="H55" s="87" t="s">
        <v>40</v>
      </c>
      <c r="I55" s="87" t="s">
        <v>41</v>
      </c>
      <c r="J55" s="87" t="s">
        <v>42</v>
      </c>
      <c r="K55" s="87" t="s">
        <v>43</v>
      </c>
      <c r="L55" s="87" t="s">
        <v>45</v>
      </c>
      <c r="M55" s="87"/>
      <c r="N55" s="87" t="s">
        <v>46</v>
      </c>
      <c r="O55" s="87" t="s">
        <v>47</v>
      </c>
      <c r="P55" s="87" t="s">
        <v>48</v>
      </c>
      <c r="Q55" s="87" t="s">
        <v>49</v>
      </c>
      <c r="R55" s="87" t="s">
        <v>14</v>
      </c>
      <c r="S55" s="20"/>
    </row>
    <row r="56" spans="1:21" s="134" customFormat="1" hidden="1">
      <c r="A56" t="s">
        <v>147</v>
      </c>
      <c r="B56"/>
      <c r="C56"/>
      <c r="D56" s="135">
        <f t="shared" ref="D56:L56" si="11">D50</f>
        <v>278</v>
      </c>
      <c r="E56" s="135">
        <f t="shared" si="11"/>
        <v>2108</v>
      </c>
      <c r="F56" s="135">
        <f t="shared" si="11"/>
        <v>776</v>
      </c>
      <c r="G56" s="135">
        <f t="shared" si="11"/>
        <v>203</v>
      </c>
      <c r="H56" s="135">
        <f t="shared" si="11"/>
        <v>438</v>
      </c>
      <c r="I56" s="135">
        <f t="shared" si="11"/>
        <v>529</v>
      </c>
      <c r="J56" s="135">
        <f t="shared" si="11"/>
        <v>1032</v>
      </c>
      <c r="K56" s="135">
        <f t="shared" si="11"/>
        <v>169</v>
      </c>
      <c r="L56" s="135">
        <f t="shared" si="11"/>
        <v>1547</v>
      </c>
      <c r="M56" s="135"/>
      <c r="N56" s="135">
        <f>N50</f>
        <v>1525</v>
      </c>
      <c r="O56" s="135">
        <f>O50</f>
        <v>231</v>
      </c>
      <c r="P56" s="135">
        <f>P50</f>
        <v>1425</v>
      </c>
      <c r="Q56" s="135">
        <f>Q50</f>
        <v>2229</v>
      </c>
      <c r="R56" s="135">
        <f>R50</f>
        <v>12768</v>
      </c>
      <c r="T56"/>
    </row>
    <row r="57" spans="1:21" s="134" customFormat="1" hidden="1">
      <c r="A57" t="s">
        <v>169</v>
      </c>
      <c r="B57"/>
      <c r="C57"/>
      <c r="D57" s="135">
        <f>0.95*D56</f>
        <v>264.09999999999997</v>
      </c>
      <c r="E57" s="135">
        <f t="shared" ref="E57:Q57" si="12">0.95*E56</f>
        <v>2002.6</v>
      </c>
      <c r="F57" s="135">
        <f t="shared" si="12"/>
        <v>737.19999999999993</v>
      </c>
      <c r="G57" s="135">
        <f t="shared" si="12"/>
        <v>192.85</v>
      </c>
      <c r="H57" s="135">
        <f t="shared" si="12"/>
        <v>416.09999999999997</v>
      </c>
      <c r="I57" s="135">
        <f t="shared" si="12"/>
        <v>502.54999999999995</v>
      </c>
      <c r="J57" s="135">
        <f t="shared" si="12"/>
        <v>980.4</v>
      </c>
      <c r="K57" s="135">
        <f t="shared" si="12"/>
        <v>160.54999999999998</v>
      </c>
      <c r="L57" s="135">
        <f t="shared" si="12"/>
        <v>1469.6499999999999</v>
      </c>
      <c r="M57" s="135"/>
      <c r="N57" s="135">
        <f t="shared" si="12"/>
        <v>1448.75</v>
      </c>
      <c r="O57" s="135">
        <f t="shared" si="12"/>
        <v>219.45</v>
      </c>
      <c r="P57" s="135">
        <f t="shared" si="12"/>
        <v>1353.75</v>
      </c>
      <c r="Q57" s="135">
        <f t="shared" si="12"/>
        <v>2117.5499999999997</v>
      </c>
      <c r="T57"/>
    </row>
    <row r="58" spans="1:21" s="134" customFormat="1" hidden="1">
      <c r="A58" t="s">
        <v>170</v>
      </c>
      <c r="B58"/>
      <c r="C58"/>
      <c r="D58" s="135">
        <f>0.05*D56</f>
        <v>13.9</v>
      </c>
      <c r="E58" s="135">
        <f t="shared" ref="E58:Q58" si="13">0.05*E56</f>
        <v>105.4</v>
      </c>
      <c r="F58" s="135">
        <f t="shared" si="13"/>
        <v>38.800000000000004</v>
      </c>
      <c r="G58" s="135">
        <f t="shared" si="13"/>
        <v>10.15</v>
      </c>
      <c r="H58" s="135">
        <f t="shared" si="13"/>
        <v>21.900000000000002</v>
      </c>
      <c r="I58" s="135">
        <f t="shared" si="13"/>
        <v>26.450000000000003</v>
      </c>
      <c r="J58" s="135">
        <f t="shared" si="13"/>
        <v>51.6</v>
      </c>
      <c r="K58" s="135">
        <f t="shared" si="13"/>
        <v>8.4500000000000011</v>
      </c>
      <c r="L58" s="135">
        <f t="shared" si="13"/>
        <v>77.350000000000009</v>
      </c>
      <c r="M58" s="135"/>
      <c r="N58" s="135">
        <f t="shared" si="13"/>
        <v>76.25</v>
      </c>
      <c r="O58" s="135">
        <f t="shared" si="13"/>
        <v>11.55</v>
      </c>
      <c r="P58" s="135">
        <f t="shared" si="13"/>
        <v>71.25</v>
      </c>
      <c r="Q58" s="135">
        <f t="shared" si="13"/>
        <v>111.45</v>
      </c>
      <c r="T58"/>
    </row>
    <row r="59" spans="1:21" s="134" customFormat="1" hidden="1">
      <c r="A59" t="s">
        <v>148</v>
      </c>
      <c r="B59"/>
      <c r="C59"/>
      <c r="D59" s="136" t="e">
        <f>-#REF!</f>
        <v>#REF!</v>
      </c>
      <c r="E59" s="136" t="e">
        <f>-#REF!</f>
        <v>#REF!</v>
      </c>
      <c r="F59" s="136" t="e">
        <f>-#REF!</f>
        <v>#REF!</v>
      </c>
      <c r="G59" s="136" t="e">
        <f>-#REF!</f>
        <v>#REF!</v>
      </c>
      <c r="H59" s="136" t="e">
        <f>-#REF!</f>
        <v>#REF!</v>
      </c>
      <c r="I59" s="136" t="e">
        <f>-#REF!</f>
        <v>#REF!</v>
      </c>
      <c r="J59" s="136" t="e">
        <f>-#REF!</f>
        <v>#REF!</v>
      </c>
      <c r="K59" s="136" t="e">
        <f>-#REF!</f>
        <v>#REF!</v>
      </c>
      <c r="L59" s="136" t="e">
        <f>-#REF!</f>
        <v>#REF!</v>
      </c>
      <c r="M59" s="136"/>
      <c r="N59" s="136" t="e">
        <f>-#REF!</f>
        <v>#REF!</v>
      </c>
      <c r="O59" s="136" t="e">
        <f>-#REF!</f>
        <v>#REF!</v>
      </c>
      <c r="P59" s="136" t="e">
        <f>-#REF!</f>
        <v>#REF!</v>
      </c>
      <c r="Q59" s="136" t="e">
        <f>-#REF!</f>
        <v>#REF!</v>
      </c>
      <c r="T59"/>
    </row>
    <row r="60" spans="1:21" s="134" customFormat="1" hidden="1">
      <c r="A60" t="s">
        <v>149</v>
      </c>
      <c r="B60"/>
      <c r="C60"/>
      <c r="D60" s="136" t="e">
        <f>D59*0.7</f>
        <v>#REF!</v>
      </c>
      <c r="E60" s="136" t="e">
        <f t="shared" ref="E60:Q60" si="14">E59*0.7</f>
        <v>#REF!</v>
      </c>
      <c r="F60" s="136" t="e">
        <f t="shared" si="14"/>
        <v>#REF!</v>
      </c>
      <c r="G60" s="136" t="e">
        <f t="shared" si="14"/>
        <v>#REF!</v>
      </c>
      <c r="H60" s="136" t="e">
        <f t="shared" si="14"/>
        <v>#REF!</v>
      </c>
      <c r="I60" s="136" t="e">
        <f t="shared" si="14"/>
        <v>#REF!</v>
      </c>
      <c r="J60" s="136" t="e">
        <f t="shared" si="14"/>
        <v>#REF!</v>
      </c>
      <c r="K60" s="136" t="e">
        <f t="shared" si="14"/>
        <v>#REF!</v>
      </c>
      <c r="L60" s="136" t="e">
        <f t="shared" si="14"/>
        <v>#REF!</v>
      </c>
      <c r="M60" s="136"/>
      <c r="N60" s="136" t="e">
        <f t="shared" si="14"/>
        <v>#REF!</v>
      </c>
      <c r="O60" s="136" t="e">
        <f t="shared" si="14"/>
        <v>#REF!</v>
      </c>
      <c r="P60" s="136" t="e">
        <f t="shared" si="14"/>
        <v>#REF!</v>
      </c>
      <c r="Q60" s="136" t="e">
        <f t="shared" si="14"/>
        <v>#REF!</v>
      </c>
      <c r="T60"/>
    </row>
    <row r="61" spans="1:21" s="134" customFormat="1" hidden="1">
      <c r="A61" t="s">
        <v>150</v>
      </c>
      <c r="B61"/>
      <c r="C61"/>
      <c r="D61" s="136" t="e">
        <f t="shared" ref="D61:Q61" si="15">D59*D57</f>
        <v>#REF!</v>
      </c>
      <c r="E61" s="136" t="e">
        <f t="shared" si="15"/>
        <v>#REF!</v>
      </c>
      <c r="F61" s="136" t="e">
        <f t="shared" si="15"/>
        <v>#REF!</v>
      </c>
      <c r="G61" s="136" t="e">
        <f t="shared" si="15"/>
        <v>#REF!</v>
      </c>
      <c r="H61" s="136" t="e">
        <f t="shared" si="15"/>
        <v>#REF!</v>
      </c>
      <c r="I61" s="136" t="e">
        <f t="shared" si="15"/>
        <v>#REF!</v>
      </c>
      <c r="J61" s="136" t="e">
        <f t="shared" si="15"/>
        <v>#REF!</v>
      </c>
      <c r="K61" s="136" t="e">
        <f t="shared" si="15"/>
        <v>#REF!</v>
      </c>
      <c r="L61" s="136" t="e">
        <f t="shared" si="15"/>
        <v>#REF!</v>
      </c>
      <c r="M61" s="136"/>
      <c r="N61" s="136" t="e">
        <f t="shared" si="15"/>
        <v>#REF!</v>
      </c>
      <c r="O61" s="136" t="e">
        <f t="shared" si="15"/>
        <v>#REF!</v>
      </c>
      <c r="P61" s="136" t="e">
        <f t="shared" si="15"/>
        <v>#REF!</v>
      </c>
      <c r="Q61" s="136" t="e">
        <f t="shared" si="15"/>
        <v>#REF!</v>
      </c>
      <c r="R61" s="136" t="e">
        <f>SUM(D61:Q61)</f>
        <v>#REF!</v>
      </c>
      <c r="T61"/>
    </row>
    <row r="62" spans="1:21" s="134" customFormat="1" hidden="1">
      <c r="A62" t="s">
        <v>151</v>
      </c>
      <c r="B62"/>
      <c r="C62"/>
      <c r="D62" s="136" t="e">
        <f t="shared" ref="D62:Q62" si="16">D58*D60</f>
        <v>#REF!</v>
      </c>
      <c r="E62" s="136" t="e">
        <f t="shared" si="16"/>
        <v>#REF!</v>
      </c>
      <c r="F62" s="136" t="e">
        <f t="shared" si="16"/>
        <v>#REF!</v>
      </c>
      <c r="G62" s="136" t="e">
        <f t="shared" si="16"/>
        <v>#REF!</v>
      </c>
      <c r="H62" s="136" t="e">
        <f t="shared" si="16"/>
        <v>#REF!</v>
      </c>
      <c r="I62" s="136" t="e">
        <f t="shared" si="16"/>
        <v>#REF!</v>
      </c>
      <c r="J62" s="136" t="e">
        <f t="shared" si="16"/>
        <v>#REF!</v>
      </c>
      <c r="K62" s="136" t="e">
        <f t="shared" si="16"/>
        <v>#REF!</v>
      </c>
      <c r="L62" s="136" t="e">
        <f t="shared" si="16"/>
        <v>#REF!</v>
      </c>
      <c r="M62" s="136"/>
      <c r="N62" s="136" t="e">
        <f t="shared" si="16"/>
        <v>#REF!</v>
      </c>
      <c r="O62" s="136" t="e">
        <f t="shared" si="16"/>
        <v>#REF!</v>
      </c>
      <c r="P62" s="136" t="e">
        <f t="shared" si="16"/>
        <v>#REF!</v>
      </c>
      <c r="Q62" s="136" t="e">
        <f t="shared" si="16"/>
        <v>#REF!</v>
      </c>
      <c r="R62" s="136" t="e">
        <f>SUM(D62:Q62)</f>
        <v>#REF!</v>
      </c>
      <c r="T62"/>
    </row>
    <row r="63" spans="1:21" s="134" customFormat="1" hidden="1">
      <c r="A63" t="s">
        <v>152</v>
      </c>
      <c r="B63"/>
      <c r="C63"/>
      <c r="D63" s="136" t="e">
        <f>D61+D62</f>
        <v>#REF!</v>
      </c>
      <c r="E63" s="136" t="e">
        <f t="shared" ref="E63:R63" si="17">E61+E62</f>
        <v>#REF!</v>
      </c>
      <c r="F63" s="136" t="e">
        <f t="shared" si="17"/>
        <v>#REF!</v>
      </c>
      <c r="G63" s="136" t="e">
        <f t="shared" si="17"/>
        <v>#REF!</v>
      </c>
      <c r="H63" s="136" t="e">
        <f t="shared" si="17"/>
        <v>#REF!</v>
      </c>
      <c r="I63" s="136" t="e">
        <f t="shared" si="17"/>
        <v>#REF!</v>
      </c>
      <c r="J63" s="136" t="e">
        <f t="shared" si="17"/>
        <v>#REF!</v>
      </c>
      <c r="K63" s="136" t="e">
        <f t="shared" si="17"/>
        <v>#REF!</v>
      </c>
      <c r="L63" s="136" t="e">
        <f t="shared" si="17"/>
        <v>#REF!</v>
      </c>
      <c r="M63" s="136"/>
      <c r="N63" s="136" t="e">
        <f t="shared" si="17"/>
        <v>#REF!</v>
      </c>
      <c r="O63" s="136" t="e">
        <f t="shared" si="17"/>
        <v>#REF!</v>
      </c>
      <c r="P63" s="136" t="e">
        <f t="shared" si="17"/>
        <v>#REF!</v>
      </c>
      <c r="Q63" s="136" t="e">
        <f t="shared" si="17"/>
        <v>#REF!</v>
      </c>
      <c r="R63" s="136" t="e">
        <f t="shared" si="17"/>
        <v>#REF!</v>
      </c>
      <c r="T63"/>
    </row>
    <row r="64" spans="1:21" s="134" customFormat="1" hidden="1">
      <c r="A64"/>
      <c r="B64"/>
      <c r="C64"/>
      <c r="U64"/>
    </row>
    <row r="65" spans="1:18" hidden="1">
      <c r="A65" t="s">
        <v>141</v>
      </c>
      <c r="D65" s="1"/>
      <c r="E65" s="1"/>
      <c r="F65" s="1"/>
      <c r="G65" s="1"/>
      <c r="I65" s="20"/>
      <c r="J65" s="46"/>
      <c r="K65" s="46"/>
      <c r="L65" s="46"/>
      <c r="M65" s="46"/>
      <c r="N65" s="46"/>
      <c r="O65" s="46"/>
      <c r="P65" s="46"/>
      <c r="Q65" s="46"/>
      <c r="R65" s="46"/>
    </row>
    <row r="66" spans="1:18" hidden="1">
      <c r="A66" t="s">
        <v>147</v>
      </c>
      <c r="D66" s="135">
        <f>R50</f>
        <v>12768</v>
      </c>
    </row>
    <row r="67" spans="1:18" hidden="1">
      <c r="A67" t="s">
        <v>169</v>
      </c>
      <c r="D67" s="127">
        <f>D66*0.95</f>
        <v>12129.599999999999</v>
      </c>
    </row>
    <row r="68" spans="1:18" hidden="1">
      <c r="A68" t="s">
        <v>170</v>
      </c>
      <c r="D68" s="127">
        <f>0.05*D66</f>
        <v>638.40000000000009</v>
      </c>
    </row>
    <row r="69" spans="1:18" hidden="1">
      <c r="A69" t="s">
        <v>161</v>
      </c>
      <c r="D69" s="27">
        <f>E78</f>
        <v>171330.59999999998</v>
      </c>
    </row>
    <row r="70" spans="1:18" hidden="1">
      <c r="A70" t="s">
        <v>160</v>
      </c>
      <c r="D70" s="27">
        <f>E104</f>
        <v>6312.18</v>
      </c>
    </row>
    <row r="71" spans="1:18" ht="13" hidden="1">
      <c r="A71" t="s">
        <v>162</v>
      </c>
      <c r="D71" s="153">
        <f>D69+D70</f>
        <v>177642.77999999997</v>
      </c>
    </row>
    <row r="72" spans="1:18" hidden="1"/>
    <row r="73" spans="1:18" hidden="1">
      <c r="A73" t="s">
        <v>161</v>
      </c>
      <c r="D73" s="137"/>
      <c r="E73" s="138"/>
    </row>
    <row r="74" spans="1:18" hidden="1">
      <c r="A74" t="s">
        <v>142</v>
      </c>
      <c r="D74" s="139"/>
      <c r="E74" s="140">
        <f>E81+E82+E83+E84</f>
        <v>51550.799999999988</v>
      </c>
      <c r="I74" s="46"/>
      <c r="J74" s="46"/>
      <c r="K74" s="46"/>
      <c r="L74" s="46"/>
      <c r="M74" s="46"/>
      <c r="N74" s="46"/>
      <c r="O74" s="46"/>
      <c r="P74" s="46"/>
    </row>
    <row r="75" spans="1:18" ht="12.75" hidden="1" customHeight="1">
      <c r="A75" t="s">
        <v>143</v>
      </c>
      <c r="D75" s="141"/>
      <c r="E75" s="142">
        <f>E86+E87+E88+E89</f>
        <v>28807.799999999996</v>
      </c>
      <c r="F75" s="58"/>
      <c r="H75" s="47" t="s">
        <v>88</v>
      </c>
      <c r="I75" s="46"/>
      <c r="J75" s="629" t="s">
        <v>83</v>
      </c>
      <c r="K75" s="629" t="s">
        <v>84</v>
      </c>
      <c r="L75" s="629" t="s">
        <v>85</v>
      </c>
      <c r="M75" s="495"/>
      <c r="N75" s="629" t="s">
        <v>86</v>
      </c>
      <c r="O75" s="46"/>
      <c r="P75" s="46"/>
    </row>
    <row r="76" spans="1:18" ht="17.25" hidden="1" customHeight="1">
      <c r="A76" t="s">
        <v>144</v>
      </c>
      <c r="D76" s="143"/>
      <c r="E76" s="140">
        <f>E91+E92+E93</f>
        <v>66712.799999999988</v>
      </c>
      <c r="H76" s="47"/>
      <c r="I76" s="46"/>
      <c r="J76" s="629"/>
      <c r="K76" s="629"/>
      <c r="L76" s="629"/>
      <c r="M76" s="495"/>
      <c r="N76" s="629"/>
      <c r="O76" s="46"/>
      <c r="P76" s="46"/>
    </row>
    <row r="77" spans="1:18" ht="14.5" hidden="1" customHeight="1">
      <c r="A77" t="s">
        <v>50</v>
      </c>
      <c r="D77" s="141"/>
      <c r="E77" s="142">
        <f>E95+E96</f>
        <v>24259.199999999997</v>
      </c>
      <c r="I77" s="634" t="s">
        <v>77</v>
      </c>
      <c r="J77" s="634" t="s">
        <v>78</v>
      </c>
      <c r="K77" s="634" t="s">
        <v>79</v>
      </c>
      <c r="L77" s="634" t="s">
        <v>80</v>
      </c>
      <c r="M77" s="496"/>
      <c r="N77" s="634" t="s">
        <v>96</v>
      </c>
      <c r="O77" s="46"/>
      <c r="P77" s="46"/>
    </row>
    <row r="78" spans="1:18" ht="14.5" hidden="1" customHeight="1">
      <c r="A78" t="s">
        <v>153</v>
      </c>
      <c r="D78" s="132"/>
      <c r="E78" s="144">
        <f>SUM(E74:E77)</f>
        <v>171330.59999999998</v>
      </c>
      <c r="I78" s="634"/>
      <c r="J78" s="634"/>
      <c r="K78" s="634"/>
      <c r="L78" s="634"/>
      <c r="M78" s="496"/>
      <c r="N78" s="634"/>
      <c r="O78" s="46"/>
      <c r="P78" s="46"/>
    </row>
    <row r="79" spans="1:18" ht="14.5" hidden="1" customHeight="1">
      <c r="A79" t="s">
        <v>154</v>
      </c>
      <c r="D79" s="133"/>
      <c r="E79" s="145">
        <f>E78/D67</f>
        <v>14.125</v>
      </c>
      <c r="I79" s="634"/>
      <c r="J79" s="634"/>
      <c r="K79" s="634"/>
      <c r="L79" s="634"/>
      <c r="M79" s="496"/>
      <c r="N79" s="634"/>
      <c r="O79" s="46"/>
      <c r="P79" s="46"/>
    </row>
    <row r="80" spans="1:18" ht="26.25" hidden="1" customHeight="1">
      <c r="A80" t="s">
        <v>142</v>
      </c>
      <c r="B80" t="s">
        <v>92</v>
      </c>
      <c r="D80" s="126" t="s">
        <v>93</v>
      </c>
      <c r="E80" s="146" t="s">
        <v>94</v>
      </c>
      <c r="H80" s="48" t="s">
        <v>15</v>
      </c>
      <c r="I80" s="49">
        <f>3*52</f>
        <v>156</v>
      </c>
      <c r="J80" s="49" t="s">
        <v>97</v>
      </c>
      <c r="K80" s="50" t="s">
        <v>98</v>
      </c>
      <c r="L80" s="50" t="s">
        <v>99</v>
      </c>
      <c r="M80" s="50"/>
      <c r="N80" s="49" t="s">
        <v>87</v>
      </c>
      <c r="O80" s="46"/>
      <c r="P80" s="46"/>
    </row>
    <row r="81" spans="1:16" hidden="1">
      <c r="A81" t="s">
        <v>78</v>
      </c>
      <c r="B81">
        <v>2.5000000000000001E-2</v>
      </c>
      <c r="C81">
        <f>$D$67*B81</f>
        <v>303.23999999999995</v>
      </c>
      <c r="D81" s="147">
        <f>+J81</f>
        <v>35</v>
      </c>
      <c r="E81" s="148">
        <f>+D81*C81</f>
        <v>10613.399999999998</v>
      </c>
      <c r="F81" s="60"/>
      <c r="H81" s="46"/>
      <c r="I81" s="51"/>
      <c r="J81" s="53">
        <v>35</v>
      </c>
      <c r="K81" s="53">
        <v>25</v>
      </c>
      <c r="L81" s="53">
        <v>10</v>
      </c>
      <c r="M81" s="53"/>
      <c r="N81" s="52">
        <v>0</v>
      </c>
      <c r="O81" s="46"/>
      <c r="P81" s="46"/>
    </row>
    <row r="82" spans="1:16" ht="32.25" hidden="1" customHeight="1">
      <c r="A82" t="s">
        <v>79</v>
      </c>
      <c r="B82">
        <v>7.4999999999999997E-2</v>
      </c>
      <c r="C82">
        <f>$D$67*B82</f>
        <v>909.71999999999991</v>
      </c>
      <c r="D82" s="147">
        <f>+K81</f>
        <v>25</v>
      </c>
      <c r="E82" s="148">
        <f>+D82*C82</f>
        <v>22742.999999999996</v>
      </c>
      <c r="F82" s="20"/>
      <c r="H82" s="48" t="s">
        <v>16</v>
      </c>
      <c r="I82" s="49">
        <f>2*52</f>
        <v>104</v>
      </c>
      <c r="J82" s="49" t="s">
        <v>90</v>
      </c>
      <c r="K82" s="50" t="s">
        <v>100</v>
      </c>
      <c r="L82" s="49" t="s">
        <v>89</v>
      </c>
      <c r="M82" s="49"/>
      <c r="N82" s="50" t="s">
        <v>101</v>
      </c>
      <c r="P82" s="46"/>
    </row>
    <row r="83" spans="1:16" hidden="1">
      <c r="A83" t="s">
        <v>80</v>
      </c>
      <c r="B83">
        <v>0.15</v>
      </c>
      <c r="C83">
        <f>$D$67*B83</f>
        <v>1819.4399999999998</v>
      </c>
      <c r="D83" s="147">
        <f>L81</f>
        <v>10</v>
      </c>
      <c r="E83" s="148">
        <f>+D83*C83</f>
        <v>18194.399999999998</v>
      </c>
      <c r="F83" s="20"/>
      <c r="H83" s="46"/>
      <c r="I83" s="51"/>
      <c r="J83" s="53">
        <v>20</v>
      </c>
      <c r="K83" s="53">
        <v>15</v>
      </c>
      <c r="L83" s="53">
        <v>5</v>
      </c>
      <c r="M83" s="53"/>
      <c r="N83" s="52">
        <v>0</v>
      </c>
      <c r="O83" s="46"/>
      <c r="P83" s="46"/>
    </row>
    <row r="84" spans="1:16" ht="19.5" hidden="1" customHeight="1">
      <c r="A84" t="s">
        <v>96</v>
      </c>
      <c r="B84">
        <v>0.75</v>
      </c>
      <c r="C84">
        <f>$D$67*B84</f>
        <v>9097.1999999999989</v>
      </c>
      <c r="D84" s="128">
        <f>N81</f>
        <v>0</v>
      </c>
      <c r="E84" s="148">
        <f>+D84*C84</f>
        <v>0</v>
      </c>
      <c r="F84" s="44"/>
      <c r="H84" s="48" t="s">
        <v>24</v>
      </c>
      <c r="I84" s="49">
        <v>26</v>
      </c>
      <c r="J84" s="49" t="s">
        <v>90</v>
      </c>
      <c r="K84" s="637" t="s">
        <v>91</v>
      </c>
      <c r="L84" s="637"/>
      <c r="M84" s="499"/>
      <c r="N84" s="50" t="s">
        <v>81</v>
      </c>
      <c r="O84" t="s">
        <v>76</v>
      </c>
      <c r="P84" s="46"/>
    </row>
    <row r="85" spans="1:16" hidden="1">
      <c r="A85" t="s">
        <v>143</v>
      </c>
      <c r="B85" t="s">
        <v>92</v>
      </c>
      <c r="D85" s="126" t="s">
        <v>93</v>
      </c>
      <c r="E85" s="146" t="s">
        <v>94</v>
      </c>
      <c r="H85" s="46"/>
      <c r="I85" s="51"/>
      <c r="J85" s="53">
        <v>50</v>
      </c>
      <c r="K85" s="635">
        <v>20</v>
      </c>
      <c r="L85" s="635"/>
      <c r="M85" s="498"/>
      <c r="N85" s="52">
        <v>0</v>
      </c>
      <c r="O85" s="46"/>
      <c r="P85" s="46"/>
    </row>
    <row r="86" spans="1:16" hidden="1">
      <c r="A86" t="s">
        <v>78</v>
      </c>
      <c r="B86">
        <v>2.5000000000000001E-2</v>
      </c>
      <c r="C86">
        <f>$D$67*B86</f>
        <v>303.23999999999995</v>
      </c>
      <c r="D86" s="149">
        <f>J83</f>
        <v>20</v>
      </c>
      <c r="E86" s="148">
        <f>+D86*C86</f>
        <v>6064.7999999999993</v>
      </c>
      <c r="H86" s="48" t="s">
        <v>50</v>
      </c>
      <c r="I86" s="49"/>
      <c r="J86" s="636">
        <v>0</v>
      </c>
      <c r="K86" s="636"/>
      <c r="L86" s="636"/>
      <c r="M86" s="497"/>
      <c r="N86" s="50" t="s">
        <v>103</v>
      </c>
      <c r="O86" s="46"/>
      <c r="P86" s="46"/>
    </row>
    <row r="87" spans="1:16" hidden="1">
      <c r="A87" t="s">
        <v>79</v>
      </c>
      <c r="B87">
        <v>7.4999999999999997E-2</v>
      </c>
      <c r="C87">
        <f>$D$67*B87</f>
        <v>909.71999999999991</v>
      </c>
      <c r="D87" s="149">
        <f>K83</f>
        <v>15</v>
      </c>
      <c r="E87" s="148">
        <f>+D87*C87</f>
        <v>13645.8</v>
      </c>
      <c r="H87" s="46"/>
      <c r="I87" s="51"/>
      <c r="J87" s="635">
        <v>10</v>
      </c>
      <c r="K87" s="635"/>
      <c r="L87" s="635"/>
      <c r="M87" s="498"/>
      <c r="N87" s="52">
        <v>0</v>
      </c>
      <c r="O87" s="46"/>
      <c r="P87" s="46"/>
    </row>
    <row r="88" spans="1:16" hidden="1">
      <c r="A88" t="s">
        <v>80</v>
      </c>
      <c r="B88">
        <v>0.15</v>
      </c>
      <c r="C88">
        <f>$D$67*B88</f>
        <v>1819.4399999999998</v>
      </c>
      <c r="D88" s="149">
        <f>L83</f>
        <v>5</v>
      </c>
      <c r="E88" s="148">
        <f>+D88*C88</f>
        <v>9097.1999999999989</v>
      </c>
      <c r="H88" s="48" t="s">
        <v>28</v>
      </c>
      <c r="I88" s="48"/>
      <c r="J88" s="54">
        <f>+J81+J83+J85+J87</f>
        <v>115</v>
      </c>
      <c r="K88" s="54">
        <f>+K81+K83+K85+J87</f>
        <v>70</v>
      </c>
      <c r="L88" s="54">
        <f>+L81+L83+K85+J87</f>
        <v>45</v>
      </c>
      <c r="M88" s="54"/>
      <c r="N88" s="54">
        <f>+N81+N83+N85+N87</f>
        <v>0</v>
      </c>
      <c r="O88" s="46"/>
      <c r="P88" s="46"/>
    </row>
    <row r="89" spans="1:16" ht="26.25" hidden="1" customHeight="1">
      <c r="A89" t="s">
        <v>96</v>
      </c>
      <c r="B89">
        <v>0.75</v>
      </c>
      <c r="C89">
        <f>$D$67*B89</f>
        <v>9097.1999999999989</v>
      </c>
      <c r="D89" s="55">
        <f>N83</f>
        <v>0</v>
      </c>
      <c r="E89" s="148">
        <f>+D89*C89</f>
        <v>0</v>
      </c>
      <c r="O89" s="46"/>
      <c r="P89" s="46"/>
    </row>
    <row r="90" spans="1:16" hidden="1">
      <c r="A90" t="s">
        <v>144</v>
      </c>
      <c r="B90" t="s">
        <v>92</v>
      </c>
      <c r="D90" s="126" t="s">
        <v>93</v>
      </c>
      <c r="E90" s="146" t="s">
        <v>94</v>
      </c>
      <c r="P90" s="46"/>
    </row>
    <row r="91" spans="1:16" hidden="1">
      <c r="A91" t="s">
        <v>79</v>
      </c>
      <c r="B91">
        <v>0.05</v>
      </c>
      <c r="C91">
        <f>$D$67*B91</f>
        <v>606.4799999999999</v>
      </c>
      <c r="D91" s="149">
        <f>J85</f>
        <v>50</v>
      </c>
      <c r="E91" s="148">
        <f>+D91*C91</f>
        <v>30323.999999999996</v>
      </c>
      <c r="P91" s="46"/>
    </row>
    <row r="92" spans="1:16" hidden="1">
      <c r="A92" t="s">
        <v>80</v>
      </c>
      <c r="B92">
        <v>0.15</v>
      </c>
      <c r="C92">
        <f>$D$67*B92</f>
        <v>1819.4399999999998</v>
      </c>
      <c r="D92" s="149">
        <f>+K85</f>
        <v>20</v>
      </c>
      <c r="E92" s="148">
        <f>+D92*C92</f>
        <v>36388.799999999996</v>
      </c>
      <c r="P92" s="46"/>
    </row>
    <row r="93" spans="1:16" hidden="1">
      <c r="A93" t="s">
        <v>96</v>
      </c>
      <c r="B93">
        <v>0.8</v>
      </c>
      <c r="C93">
        <f>$D$67*B93</f>
        <v>9703.6799999999985</v>
      </c>
      <c r="D93" s="55">
        <f>N85</f>
        <v>0</v>
      </c>
      <c r="E93" s="148">
        <f>+D93*C93</f>
        <v>0</v>
      </c>
      <c r="P93" s="46"/>
    </row>
    <row r="94" spans="1:16" ht="27.75" hidden="1" customHeight="1">
      <c r="A94" t="s">
        <v>145</v>
      </c>
      <c r="B94" t="s">
        <v>92</v>
      </c>
      <c r="D94" s="126" t="s">
        <v>93</v>
      </c>
      <c r="E94" s="146" t="s">
        <v>94</v>
      </c>
    </row>
    <row r="95" spans="1:16" hidden="1">
      <c r="A95" t="s">
        <v>79</v>
      </c>
      <c r="B95">
        <v>0.2</v>
      </c>
      <c r="C95">
        <f>$D$67*B95</f>
        <v>2425.9199999999996</v>
      </c>
      <c r="D95" s="149">
        <f>J87</f>
        <v>10</v>
      </c>
      <c r="E95" s="148">
        <f>+D95*C95</f>
        <v>24259.199999999997</v>
      </c>
    </row>
    <row r="96" spans="1:16" hidden="1">
      <c r="A96" t="s">
        <v>96</v>
      </c>
      <c r="B96">
        <v>0.8</v>
      </c>
      <c r="C96">
        <f>$D$67*B96</f>
        <v>9703.6799999999985</v>
      </c>
      <c r="D96" s="149">
        <f>N87</f>
        <v>0</v>
      </c>
      <c r="E96" s="148">
        <f>+D96*C96</f>
        <v>0</v>
      </c>
    </row>
    <row r="97" spans="1:16" ht="13" hidden="1" thickBot="1">
      <c r="B97" t="s">
        <v>95</v>
      </c>
      <c r="D97" s="150"/>
      <c r="E97" s="151">
        <f>E74+E75+E76+E77</f>
        <v>171330.59999999998</v>
      </c>
    </row>
    <row r="98" spans="1:16" ht="39" hidden="1" customHeight="1" thickBot="1">
      <c r="D98" s="129"/>
      <c r="E98" s="130"/>
    </row>
    <row r="99" spans="1:16" hidden="1">
      <c r="A99" t="s">
        <v>160</v>
      </c>
      <c r="D99" s="137"/>
      <c r="E99" s="138"/>
      <c r="F99" s="59"/>
    </row>
    <row r="100" spans="1:16" hidden="1">
      <c r="A100" t="s">
        <v>155</v>
      </c>
      <c r="D100" s="139"/>
      <c r="E100" s="140">
        <f>(E107+E108+E109+E110)*0.7</f>
        <v>1899.24</v>
      </c>
      <c r="F100" s="59"/>
    </row>
    <row r="101" spans="1:16" hidden="1">
      <c r="A101" t="s">
        <v>156</v>
      </c>
      <c r="D101" s="141"/>
      <c r="E101" s="142">
        <f>(E112+E113+E114+E115)*0.7</f>
        <v>1061.3399999999999</v>
      </c>
      <c r="F101" s="59"/>
    </row>
    <row r="102" spans="1:16" hidden="1">
      <c r="A102" t="s">
        <v>157</v>
      </c>
      <c r="D102" s="143"/>
      <c r="E102" s="140">
        <f>(E117+E118+E119)*0.7</f>
        <v>2457.84</v>
      </c>
      <c r="F102" s="59"/>
    </row>
    <row r="103" spans="1:16" hidden="1">
      <c r="A103" t="s">
        <v>158</v>
      </c>
      <c r="D103" s="141"/>
      <c r="E103" s="142">
        <f>(E121+E122)*0.7</f>
        <v>893.7600000000001</v>
      </c>
      <c r="F103" s="59"/>
    </row>
    <row r="104" spans="1:16" hidden="1">
      <c r="A104" t="s">
        <v>159</v>
      </c>
      <c r="D104" s="132"/>
      <c r="E104" s="144">
        <f>SUM(E100:E103)</f>
        <v>6312.18</v>
      </c>
      <c r="F104" s="59"/>
    </row>
    <row r="105" spans="1:16" hidden="1">
      <c r="A105" t="s">
        <v>154</v>
      </c>
      <c r="D105" s="133"/>
      <c r="E105" s="145">
        <f>E104/D68</f>
        <v>9.8874999999999993</v>
      </c>
      <c r="F105" s="59"/>
    </row>
    <row r="106" spans="1:16" ht="26.25" hidden="1" customHeight="1">
      <c r="A106" t="s">
        <v>142</v>
      </c>
      <c r="B106" t="s">
        <v>92</v>
      </c>
      <c r="D106" s="126" t="s">
        <v>93</v>
      </c>
      <c r="E106" s="146" t="s">
        <v>94</v>
      </c>
    </row>
    <row r="107" spans="1:16" hidden="1">
      <c r="A107" t="s">
        <v>78</v>
      </c>
      <c r="B107">
        <v>2.5000000000000001E-2</v>
      </c>
      <c r="C107">
        <f>$D$68*B107</f>
        <v>15.960000000000003</v>
      </c>
      <c r="D107" s="147">
        <f>D81</f>
        <v>35</v>
      </c>
      <c r="E107" s="148">
        <f>+D107*C107</f>
        <v>558.60000000000014</v>
      </c>
      <c r="F107" s="20"/>
      <c r="G107" s="58"/>
    </row>
    <row r="108" spans="1:16" hidden="1">
      <c r="A108" t="s">
        <v>79</v>
      </c>
      <c r="B108">
        <v>7.4999999999999997E-2</v>
      </c>
      <c r="C108">
        <f>$D$68*B108</f>
        <v>47.88</v>
      </c>
      <c r="D108" s="147">
        <f>D82</f>
        <v>25</v>
      </c>
      <c r="E108" s="148">
        <f>+D108*C108</f>
        <v>1197</v>
      </c>
    </row>
    <row r="109" spans="1:16" hidden="1">
      <c r="A109" t="s">
        <v>80</v>
      </c>
      <c r="B109">
        <v>0.15</v>
      </c>
      <c r="C109">
        <f>$D$68*B109</f>
        <v>95.76</v>
      </c>
      <c r="D109" s="147">
        <f>D83</f>
        <v>10</v>
      </c>
      <c r="E109" s="148">
        <f>+D109*C109</f>
        <v>957.6</v>
      </c>
      <c r="I109" s="46"/>
      <c r="J109" s="46"/>
      <c r="K109" s="46"/>
      <c r="L109" s="46"/>
      <c r="M109" s="46"/>
      <c r="N109" s="46"/>
    </row>
    <row r="110" spans="1:16" ht="23" hidden="1">
      <c r="A110" t="s">
        <v>96</v>
      </c>
      <c r="B110">
        <v>0.75</v>
      </c>
      <c r="C110">
        <f>$D$68*B110</f>
        <v>478.80000000000007</v>
      </c>
      <c r="D110" s="147">
        <f>D84</f>
        <v>0</v>
      </c>
      <c r="E110" s="148">
        <f>+D110*C110</f>
        <v>0</v>
      </c>
      <c r="H110" s="47" t="s">
        <v>88</v>
      </c>
      <c r="I110" s="46"/>
      <c r="J110" s="495" t="s">
        <v>83</v>
      </c>
      <c r="K110" s="495" t="s">
        <v>84</v>
      </c>
      <c r="L110" s="495" t="s">
        <v>85</v>
      </c>
      <c r="M110" s="495"/>
      <c r="N110" s="495" t="s">
        <v>86</v>
      </c>
    </row>
    <row r="111" spans="1:16" ht="15.5" hidden="1">
      <c r="A111" t="s">
        <v>143</v>
      </c>
      <c r="B111" t="s">
        <v>92</v>
      </c>
      <c r="D111" s="126" t="s">
        <v>93</v>
      </c>
      <c r="E111" s="146" t="s">
        <v>94</v>
      </c>
      <c r="H111" s="47"/>
      <c r="I111" s="46"/>
      <c r="J111" s="495"/>
      <c r="K111" s="495"/>
      <c r="L111" s="495"/>
      <c r="M111" s="495"/>
      <c r="N111" s="495"/>
      <c r="O111" s="46"/>
      <c r="P111" s="46"/>
    </row>
    <row r="112" spans="1:16" ht="26.25" hidden="1" customHeight="1">
      <c r="A112" t="s">
        <v>78</v>
      </c>
      <c r="B112">
        <v>2.5000000000000001E-2</v>
      </c>
      <c r="C112">
        <f>$D$68*B112</f>
        <v>15.960000000000003</v>
      </c>
      <c r="D112" s="149">
        <f>D86</f>
        <v>20</v>
      </c>
      <c r="E112" s="148">
        <f>+D112*C112</f>
        <v>319.20000000000005</v>
      </c>
      <c r="F112" s="58"/>
      <c r="I112" s="496" t="s">
        <v>77</v>
      </c>
      <c r="J112" s="496" t="s">
        <v>78</v>
      </c>
      <c r="K112" s="496" t="s">
        <v>79</v>
      </c>
      <c r="L112" s="496" t="s">
        <v>80</v>
      </c>
      <c r="M112" s="496"/>
      <c r="N112" s="496" t="s">
        <v>96</v>
      </c>
      <c r="O112" s="46"/>
      <c r="P112" s="46"/>
    </row>
    <row r="113" spans="1:16" ht="24" hidden="1" customHeight="1">
      <c r="A113" t="s">
        <v>79</v>
      </c>
      <c r="B113">
        <v>7.4999999999999997E-2</v>
      </c>
      <c r="C113">
        <f>$D$68*B113</f>
        <v>47.88</v>
      </c>
      <c r="D113" s="149">
        <f>D87</f>
        <v>15</v>
      </c>
      <c r="E113" s="148">
        <f>+D113*C113</f>
        <v>718.2</v>
      </c>
      <c r="I113" s="496"/>
      <c r="J113" s="496"/>
      <c r="K113" s="496"/>
      <c r="L113" s="496"/>
      <c r="M113" s="496"/>
      <c r="N113" s="496"/>
      <c r="O113" s="46"/>
      <c r="P113" s="46"/>
    </row>
    <row r="114" spans="1:16" ht="23.25" hidden="1" customHeight="1">
      <c r="A114" t="s">
        <v>80</v>
      </c>
      <c r="B114">
        <v>0.15</v>
      </c>
      <c r="C114">
        <f>$D$68*B114</f>
        <v>95.76</v>
      </c>
      <c r="D114" s="149">
        <f>D88</f>
        <v>5</v>
      </c>
      <c r="E114" s="148">
        <f>+D114*C114</f>
        <v>478.8</v>
      </c>
      <c r="H114" s="48" t="s">
        <v>15</v>
      </c>
      <c r="I114" s="49">
        <f>3*52</f>
        <v>156</v>
      </c>
      <c r="J114" s="49" t="s">
        <v>97</v>
      </c>
      <c r="K114" s="50" t="s">
        <v>98</v>
      </c>
      <c r="L114" s="50" t="s">
        <v>99</v>
      </c>
      <c r="M114" s="50"/>
      <c r="N114" s="49" t="s">
        <v>87</v>
      </c>
      <c r="O114" s="46"/>
      <c r="P114" s="46"/>
    </row>
    <row r="115" spans="1:16" ht="22.5" hidden="1" customHeight="1">
      <c r="A115" t="s">
        <v>96</v>
      </c>
      <c r="B115">
        <v>0.75</v>
      </c>
      <c r="C115">
        <f>$D$68*B115</f>
        <v>478.80000000000007</v>
      </c>
      <c r="D115" s="149">
        <f>D89</f>
        <v>0</v>
      </c>
      <c r="E115" s="148">
        <f>+D115*C115</f>
        <v>0</v>
      </c>
      <c r="H115" s="46"/>
      <c r="I115" s="51"/>
      <c r="J115" s="53">
        <v>35</v>
      </c>
      <c r="K115" s="53">
        <v>25</v>
      </c>
      <c r="L115" s="53">
        <v>10</v>
      </c>
      <c r="M115" s="53"/>
      <c r="N115" s="52">
        <v>0</v>
      </c>
      <c r="O115" s="46"/>
      <c r="P115" s="46"/>
    </row>
    <row r="116" spans="1:16" hidden="1">
      <c r="A116" t="s">
        <v>144</v>
      </c>
      <c r="B116" t="s">
        <v>92</v>
      </c>
      <c r="D116" s="126" t="s">
        <v>93</v>
      </c>
      <c r="E116" s="146" t="s">
        <v>94</v>
      </c>
      <c r="H116" s="48" t="s">
        <v>16</v>
      </c>
      <c r="I116" s="49">
        <f>2*52</f>
        <v>104</v>
      </c>
      <c r="J116" s="49" t="s">
        <v>90</v>
      </c>
      <c r="K116" s="50" t="s">
        <v>100</v>
      </c>
      <c r="L116" s="49" t="s">
        <v>89</v>
      </c>
      <c r="M116" s="49"/>
      <c r="N116" s="50" t="s">
        <v>101</v>
      </c>
      <c r="O116" s="46"/>
      <c r="P116" s="46"/>
    </row>
    <row r="117" spans="1:16" hidden="1">
      <c r="A117" t="s">
        <v>79</v>
      </c>
      <c r="B117">
        <v>0.05</v>
      </c>
      <c r="C117">
        <f>$D$68*B117</f>
        <v>31.920000000000005</v>
      </c>
      <c r="D117" s="149">
        <f>D91</f>
        <v>50</v>
      </c>
      <c r="E117" s="148">
        <f>+D117*C117</f>
        <v>1596.0000000000002</v>
      </c>
      <c r="F117" s="60"/>
      <c r="H117" s="46"/>
      <c r="I117" s="51"/>
      <c r="J117" s="53">
        <v>20</v>
      </c>
      <c r="K117" s="53">
        <v>15</v>
      </c>
      <c r="L117" s="53">
        <v>5</v>
      </c>
      <c r="M117" s="53"/>
      <c r="N117" s="52">
        <v>0</v>
      </c>
      <c r="O117" s="46"/>
      <c r="P117" s="46"/>
    </row>
    <row r="118" spans="1:16" hidden="1">
      <c r="A118" t="s">
        <v>80</v>
      </c>
      <c r="B118">
        <v>0.15</v>
      </c>
      <c r="C118">
        <f>$D$68*B118</f>
        <v>95.76</v>
      </c>
      <c r="D118" s="149">
        <f>D92</f>
        <v>20</v>
      </c>
      <c r="E118" s="148">
        <f>+D118*C118</f>
        <v>1915.2</v>
      </c>
      <c r="F118" s="20"/>
      <c r="H118" s="48" t="s">
        <v>24</v>
      </c>
      <c r="I118" s="49">
        <v>26</v>
      </c>
      <c r="J118" s="49" t="s">
        <v>90</v>
      </c>
      <c r="K118" s="637" t="s">
        <v>91</v>
      </c>
      <c r="L118" s="637"/>
      <c r="M118" s="499"/>
      <c r="N118" s="50" t="s">
        <v>81</v>
      </c>
      <c r="P118" s="46"/>
    </row>
    <row r="119" spans="1:16" hidden="1">
      <c r="A119" t="s">
        <v>96</v>
      </c>
      <c r="B119">
        <v>0.8</v>
      </c>
      <c r="C119">
        <f>$D$68*B119</f>
        <v>510.72000000000008</v>
      </c>
      <c r="D119" s="149">
        <f>D93</f>
        <v>0</v>
      </c>
      <c r="E119" s="148">
        <f>+D119*C119</f>
        <v>0</v>
      </c>
      <c r="F119" s="20"/>
      <c r="H119" s="46"/>
      <c r="I119" s="51"/>
      <c r="J119" s="53">
        <v>50</v>
      </c>
      <c r="K119" s="635">
        <v>20</v>
      </c>
      <c r="L119" s="635"/>
      <c r="M119" s="498"/>
      <c r="N119" s="52">
        <v>0</v>
      </c>
      <c r="O119" s="46"/>
      <c r="P119" s="46"/>
    </row>
    <row r="120" spans="1:16" hidden="1">
      <c r="A120" t="s">
        <v>145</v>
      </c>
      <c r="B120" t="s">
        <v>92</v>
      </c>
      <c r="D120" s="126" t="s">
        <v>93</v>
      </c>
      <c r="E120" s="146" t="s">
        <v>94</v>
      </c>
      <c r="F120" s="44"/>
      <c r="H120" s="48" t="s">
        <v>50</v>
      </c>
      <c r="I120" s="49"/>
      <c r="J120" s="636">
        <v>0</v>
      </c>
      <c r="K120" s="636"/>
      <c r="L120" s="636"/>
      <c r="M120" s="497"/>
      <c r="N120" s="50" t="s">
        <v>103</v>
      </c>
      <c r="O120" t="s">
        <v>76</v>
      </c>
      <c r="P120" s="46"/>
    </row>
    <row r="121" spans="1:16" hidden="1">
      <c r="A121" t="s">
        <v>79</v>
      </c>
      <c r="B121">
        <v>0.2</v>
      </c>
      <c r="C121">
        <f>$D$68*B121</f>
        <v>127.68000000000002</v>
      </c>
      <c r="D121" s="149">
        <f>D95</f>
        <v>10</v>
      </c>
      <c r="E121" s="148">
        <f>+D121*C121</f>
        <v>1276.8000000000002</v>
      </c>
      <c r="H121" s="46"/>
      <c r="I121" s="51"/>
      <c r="J121" s="635">
        <v>10</v>
      </c>
      <c r="K121" s="635"/>
      <c r="L121" s="635"/>
      <c r="M121" s="498"/>
      <c r="N121" s="52">
        <v>0</v>
      </c>
      <c r="O121" s="46"/>
      <c r="P121" s="46"/>
    </row>
    <row r="122" spans="1:16" hidden="1">
      <c r="A122" t="s">
        <v>96</v>
      </c>
      <c r="B122">
        <v>0.8</v>
      </c>
      <c r="C122">
        <f>$D$68*B122</f>
        <v>510.72000000000008</v>
      </c>
      <c r="D122" s="149">
        <f>D96</f>
        <v>0</v>
      </c>
      <c r="E122" s="148">
        <f>+D122*C122</f>
        <v>0</v>
      </c>
      <c r="H122" s="48" t="s">
        <v>28</v>
      </c>
      <c r="I122" s="48"/>
      <c r="J122" s="54">
        <f>+J115+J117+J119+J121</f>
        <v>115</v>
      </c>
      <c r="K122" s="54">
        <f>+K115+K117+K119+J121</f>
        <v>70</v>
      </c>
      <c r="L122" s="54">
        <f>+L115+L117+K119+J121</f>
        <v>45</v>
      </c>
      <c r="M122" s="54"/>
      <c r="N122" s="54">
        <f>+N115+N117+N119+N121</f>
        <v>0</v>
      </c>
      <c r="O122" s="46"/>
      <c r="P122" s="46"/>
    </row>
    <row r="123" spans="1:16" ht="13" hidden="1" thickBot="1">
      <c r="B123" t="s">
        <v>95</v>
      </c>
      <c r="D123" s="150"/>
      <c r="E123" s="151">
        <f>E100+E101+E102+E103</f>
        <v>6312.18</v>
      </c>
      <c r="H123" s="46" t="s">
        <v>82</v>
      </c>
      <c r="I123" s="46"/>
      <c r="J123" s="56">
        <f>D107</f>
        <v>35</v>
      </c>
      <c r="K123" s="56">
        <f>J123</f>
        <v>35</v>
      </c>
      <c r="L123" s="57">
        <f>K123</f>
        <v>35</v>
      </c>
      <c r="M123" s="57"/>
      <c r="N123" s="56">
        <f>L123</f>
        <v>35</v>
      </c>
      <c r="O123" s="46"/>
      <c r="P123" s="46"/>
    </row>
    <row r="124" spans="1:16" hidden="1"/>
    <row r="125" spans="1:16" hidden="1"/>
    <row r="126" spans="1:16" hidden="1"/>
  </sheetData>
  <mergeCells count="23">
    <mergeCell ref="K84:L84"/>
    <mergeCell ref="J121:L121"/>
    <mergeCell ref="K85:L85"/>
    <mergeCell ref="J86:L86"/>
    <mergeCell ref="J87:L87"/>
    <mergeCell ref="K118:L118"/>
    <mergeCell ref="K119:L119"/>
    <mergeCell ref="J120:L120"/>
    <mergeCell ref="I77:I79"/>
    <mergeCell ref="J77:J79"/>
    <mergeCell ref="K77:K79"/>
    <mergeCell ref="L77:L79"/>
    <mergeCell ref="N77:N79"/>
    <mergeCell ref="C7:E7"/>
    <mergeCell ref="A9:A35"/>
    <mergeCell ref="B9:B24"/>
    <mergeCell ref="B25:B34"/>
    <mergeCell ref="N75:N76"/>
    <mergeCell ref="A37:A44"/>
    <mergeCell ref="B37:B44"/>
    <mergeCell ref="J75:J76"/>
    <mergeCell ref="K75:K76"/>
    <mergeCell ref="L75:L76"/>
  </mergeCells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</sheetPr>
  <dimension ref="A1:HA63"/>
  <sheetViews>
    <sheetView topLeftCell="A46" workbookViewId="0">
      <selection activeCell="S60" sqref="S60"/>
    </sheetView>
  </sheetViews>
  <sheetFormatPr baseColWidth="10" defaultRowHeight="12.5"/>
  <cols>
    <col min="1" max="1" width="23.81640625" customWidth="1"/>
    <col min="2" max="2" width="36" bestFit="1" customWidth="1"/>
    <col min="3" max="3" width="16.453125" hidden="1" customWidth="1"/>
    <col min="4" max="4" width="15.453125" hidden="1" customWidth="1"/>
    <col min="5" max="5" width="13.81640625" hidden="1" customWidth="1"/>
    <col min="6" max="6" width="15" hidden="1" customWidth="1"/>
    <col min="7" max="7" width="15.1796875" hidden="1" customWidth="1"/>
    <col min="8" max="8" width="14.81640625" hidden="1" customWidth="1"/>
    <col min="9" max="10" width="14.54296875" hidden="1" customWidth="1"/>
    <col min="11" max="11" width="15" hidden="1" customWidth="1"/>
    <col min="12" max="12" width="13" hidden="1" customWidth="1"/>
    <col min="13" max="13" width="13.453125" hidden="1" customWidth="1"/>
    <col min="14" max="14" width="14.54296875" hidden="1" customWidth="1"/>
    <col min="15" max="15" width="13.54296875" hidden="1" customWidth="1"/>
    <col min="16" max="16" width="15.453125" hidden="1" customWidth="1"/>
    <col min="17" max="17" width="14.453125" bestFit="1" customWidth="1"/>
    <col min="18" max="18" width="15.1796875" customWidth="1"/>
    <col min="19" max="19" width="21.54296875" customWidth="1"/>
    <col min="20" max="20" width="14.54296875" customWidth="1"/>
  </cols>
  <sheetData>
    <row r="1" spans="3:20" ht="15" hidden="1" customHeight="1">
      <c r="D1" s="642" t="s">
        <v>113</v>
      </c>
      <c r="E1" s="642"/>
      <c r="F1" s="642"/>
      <c r="G1" s="642"/>
      <c r="P1">
        <f>511/365</f>
        <v>1.4</v>
      </c>
    </row>
    <row r="2" spans="3:20" ht="15" hidden="1" customHeight="1">
      <c r="D2" s="14" t="s">
        <v>112</v>
      </c>
      <c r="E2" s="14" t="s">
        <v>112</v>
      </c>
      <c r="F2" s="14" t="s">
        <v>112</v>
      </c>
      <c r="G2" s="14" t="s">
        <v>112</v>
      </c>
      <c r="H2" s="74" t="s">
        <v>114</v>
      </c>
      <c r="I2" s="643" t="s">
        <v>60</v>
      </c>
      <c r="J2" s="644"/>
      <c r="K2" s="644"/>
      <c r="L2" s="645"/>
      <c r="M2" s="14" t="s">
        <v>112</v>
      </c>
      <c r="N2" s="14"/>
      <c r="O2" s="14"/>
      <c r="S2" s="646" t="s">
        <v>66</v>
      </c>
      <c r="T2" s="646"/>
    </row>
    <row r="3" spans="3:20" ht="33.75" hidden="1" customHeight="1">
      <c r="C3" s="4" t="s">
        <v>59</v>
      </c>
      <c r="D3" s="15" t="s">
        <v>15</v>
      </c>
      <c r="E3" s="15" t="s">
        <v>16</v>
      </c>
      <c r="F3" s="15" t="s">
        <v>17</v>
      </c>
      <c r="G3" s="15" t="s">
        <v>22</v>
      </c>
      <c r="H3" s="15" t="s">
        <v>23</v>
      </c>
      <c r="I3" s="36" t="s">
        <v>56</v>
      </c>
      <c r="J3" s="36" t="s">
        <v>57</v>
      </c>
      <c r="K3" s="36" t="s">
        <v>58</v>
      </c>
      <c r="L3" s="36" t="s">
        <v>50</v>
      </c>
      <c r="M3" s="15" t="s">
        <v>24</v>
      </c>
      <c r="N3" s="15" t="s">
        <v>14</v>
      </c>
      <c r="O3" s="16" t="s">
        <v>25</v>
      </c>
      <c r="P3" s="40" t="s">
        <v>67</v>
      </c>
      <c r="Q3" s="40" t="s">
        <v>128</v>
      </c>
      <c r="R3" s="40" t="s">
        <v>68</v>
      </c>
      <c r="S3" s="15" t="s">
        <v>62</v>
      </c>
      <c r="T3" s="15" t="s">
        <v>63</v>
      </c>
    </row>
    <row r="4" spans="3:20" ht="12.75" hidden="1" customHeight="1">
      <c r="C4" s="17" t="s">
        <v>0</v>
      </c>
      <c r="D4" s="80">
        <v>108.57818181818183</v>
      </c>
      <c r="E4" s="80">
        <v>37.399636363636368</v>
      </c>
      <c r="F4" s="80">
        <v>27.587999999999997</v>
      </c>
      <c r="G4" s="80">
        <v>31.001708686755759</v>
      </c>
      <c r="H4" s="81">
        <v>175</v>
      </c>
      <c r="I4" s="80">
        <v>11.465</v>
      </c>
      <c r="J4" s="80">
        <v>4.056</v>
      </c>
      <c r="K4" s="80">
        <v>0.2223</v>
      </c>
      <c r="L4" s="30"/>
      <c r="M4" s="18">
        <v>52.210909090909091</v>
      </c>
      <c r="N4" s="18">
        <f>SUM(D4:M4)</f>
        <v>447.52173595948301</v>
      </c>
      <c r="O4" s="32">
        <f>SUM(D4:L4)/N4</f>
        <v>0.88333324418540404</v>
      </c>
      <c r="P4" s="37">
        <f t="shared" ref="P4:P18" si="0">S4*1000/T4/365</f>
        <v>1.5221626126360748</v>
      </c>
      <c r="Q4" s="37" t="e">
        <f>N4*1000/#REF!/365</f>
        <v>#REF!</v>
      </c>
      <c r="R4" s="32" t="e">
        <f t="shared" ref="R4:R17" si="1">(Q4-P4)/P4</f>
        <v>#REF!</v>
      </c>
      <c r="S4" s="18" t="s">
        <v>64</v>
      </c>
      <c r="T4" s="38">
        <v>789</v>
      </c>
    </row>
    <row r="5" spans="3:20" ht="15" hidden="1" customHeight="1">
      <c r="C5" s="17" t="s">
        <v>1</v>
      </c>
      <c r="D5" s="80">
        <v>512.34872727272727</v>
      </c>
      <c r="E5" s="80">
        <v>189.8607272727273</v>
      </c>
      <c r="F5" s="80">
        <v>138.2738181818182</v>
      </c>
      <c r="G5" s="80">
        <v>119.64643951291725</v>
      </c>
      <c r="H5" s="80">
        <v>56.948182266704194</v>
      </c>
      <c r="I5" s="80">
        <v>50.390999999999998</v>
      </c>
      <c r="J5" s="80">
        <v>17.555</v>
      </c>
      <c r="K5" s="80">
        <v>1.1412</v>
      </c>
      <c r="L5" s="30"/>
      <c r="M5" s="18">
        <v>303.25963636363645</v>
      </c>
      <c r="N5" s="18">
        <f t="shared" ref="N5:N16" si="2">SUM(D5:M5)</f>
        <v>1389.4247308705308</v>
      </c>
      <c r="O5" s="32">
        <f t="shared" ref="O5:O17" si="3">SUM(D5:L5)/N5</f>
        <v>0.78173726893889961</v>
      </c>
      <c r="P5" s="37">
        <f t="shared" si="0"/>
        <v>1.3028381496361554</v>
      </c>
      <c r="Q5" s="37" t="e">
        <f>N5*1000/#REF!/365</f>
        <v>#REF!</v>
      </c>
      <c r="R5" s="32" t="e">
        <f t="shared" si="1"/>
        <v>#REF!</v>
      </c>
      <c r="S5" s="18">
        <v>2422.38</v>
      </c>
      <c r="T5" s="38">
        <v>5094</v>
      </c>
    </row>
    <row r="6" spans="3:20" ht="12.75" hidden="1" customHeight="1">
      <c r="C6" s="17" t="s">
        <v>2</v>
      </c>
      <c r="D6" s="80">
        <v>194.64654545454547</v>
      </c>
      <c r="E6" s="80">
        <v>66.98181818181817</v>
      </c>
      <c r="F6" s="80">
        <v>40.470545454545444</v>
      </c>
      <c r="G6" s="80">
        <v>37.25642197918728</v>
      </c>
      <c r="H6" s="80">
        <v>32.79466500429313</v>
      </c>
      <c r="I6" s="80">
        <v>33.658999999999999</v>
      </c>
      <c r="J6" s="80">
        <v>5.1669999999999998</v>
      </c>
      <c r="K6" s="80">
        <v>0.23580000000000001</v>
      </c>
      <c r="L6" s="18">
        <v>164.62</v>
      </c>
      <c r="M6" s="18">
        <v>48.614181818181812</v>
      </c>
      <c r="N6" s="18">
        <f t="shared" si="2"/>
        <v>624.44597789257125</v>
      </c>
      <c r="O6" s="32">
        <f t="shared" si="3"/>
        <v>0.92214829858901692</v>
      </c>
      <c r="P6" s="37">
        <f t="shared" si="0"/>
        <v>1.110077188272264</v>
      </c>
      <c r="Q6" s="37" t="e">
        <f>N6*1000/#REF!/365</f>
        <v>#REF!</v>
      </c>
      <c r="R6" s="32" t="e">
        <f t="shared" si="1"/>
        <v>#REF!</v>
      </c>
      <c r="S6" s="18">
        <v>727.7</v>
      </c>
      <c r="T6" s="38">
        <v>1796</v>
      </c>
    </row>
    <row r="7" spans="3:20" ht="12.75" hidden="1" customHeight="1">
      <c r="C7" s="17" t="s">
        <v>12</v>
      </c>
      <c r="D7" s="80">
        <v>72.370909090909095</v>
      </c>
      <c r="E7" s="80">
        <v>24.488727272727274</v>
      </c>
      <c r="F7" s="80">
        <v>18.078545454545452</v>
      </c>
      <c r="G7" s="80">
        <v>19.44480808179118</v>
      </c>
      <c r="H7" s="80">
        <v>10.6</v>
      </c>
      <c r="I7" s="80">
        <v>6.6879999999999997</v>
      </c>
      <c r="J7" s="80">
        <v>3.2450000000000001</v>
      </c>
      <c r="K7" s="80"/>
      <c r="L7" s="18">
        <v>37.43</v>
      </c>
      <c r="M7" s="18">
        <v>30.452727272727273</v>
      </c>
      <c r="N7" s="18">
        <f t="shared" si="2"/>
        <v>222.79871717270026</v>
      </c>
      <c r="O7" s="32">
        <f t="shared" si="3"/>
        <v>0.86331731322706784</v>
      </c>
      <c r="P7" s="37">
        <f t="shared" si="0"/>
        <v>1.5522372715824102</v>
      </c>
      <c r="Q7" s="37" t="e">
        <f>N7*1000/#REF!/365</f>
        <v>#REF!</v>
      </c>
      <c r="R7" s="32" t="e">
        <f t="shared" si="1"/>
        <v>#REF!</v>
      </c>
      <c r="S7" s="18">
        <v>301.98</v>
      </c>
      <c r="T7" s="38">
        <v>533</v>
      </c>
    </row>
    <row r="8" spans="3:20" ht="12.75" hidden="1" customHeight="1">
      <c r="C8" s="17" t="s">
        <v>3</v>
      </c>
      <c r="D8" s="80">
        <v>98.091272727272724</v>
      </c>
      <c r="E8" s="80">
        <v>37.646181818181816</v>
      </c>
      <c r="F8" s="80">
        <v>24.679636363636362</v>
      </c>
      <c r="G8" s="80">
        <v>24.338251611077048</v>
      </c>
      <c r="H8" s="80">
        <v>83.153961063811607</v>
      </c>
      <c r="I8" s="80">
        <v>8.4809999999999999</v>
      </c>
      <c r="J8" s="80">
        <v>2.4123600000000001</v>
      </c>
      <c r="K8" s="80"/>
      <c r="L8" s="18">
        <v>13.95</v>
      </c>
      <c r="M8" s="18">
        <v>37.18690909090909</v>
      </c>
      <c r="N8" s="18">
        <f t="shared" si="2"/>
        <v>329.93957267488861</v>
      </c>
      <c r="O8" s="32">
        <f t="shared" si="3"/>
        <v>0.88729175833796758</v>
      </c>
      <c r="P8" s="37">
        <f t="shared" si="0"/>
        <v>1.0885413000323811</v>
      </c>
      <c r="Q8" s="37" t="e">
        <f>N8*1000/#REF!/365</f>
        <v>#REF!</v>
      </c>
      <c r="R8" s="32" t="e">
        <f t="shared" si="1"/>
        <v>#REF!</v>
      </c>
      <c r="S8" s="18">
        <v>386.59</v>
      </c>
      <c r="T8" s="38">
        <v>973</v>
      </c>
    </row>
    <row r="9" spans="3:20" ht="12.75" hidden="1" customHeight="1">
      <c r="C9" s="17" t="s">
        <v>4</v>
      </c>
      <c r="D9" s="80">
        <v>135.03381818181819</v>
      </c>
      <c r="E9" s="80">
        <v>46.80981818181818</v>
      </c>
      <c r="F9" s="80">
        <v>28.746545454545455</v>
      </c>
      <c r="G9" s="80">
        <v>26.277667502297692</v>
      </c>
      <c r="H9" s="80">
        <v>26.713434220761545</v>
      </c>
      <c r="I9" s="80">
        <v>9.7899999999999991</v>
      </c>
      <c r="J9" s="80">
        <v>3.2827699999999989</v>
      </c>
      <c r="K9" s="80">
        <v>0.33660000000000001</v>
      </c>
      <c r="L9" s="18">
        <v>40.450000000000003</v>
      </c>
      <c r="M9" s="18">
        <v>37.896000000000001</v>
      </c>
      <c r="N9" s="18">
        <f t="shared" si="2"/>
        <v>355.33665354124105</v>
      </c>
      <c r="O9" s="32">
        <f t="shared" si="3"/>
        <v>0.89335184079004182</v>
      </c>
      <c r="P9" s="37">
        <f t="shared" si="0"/>
        <v>1.24441365802391</v>
      </c>
      <c r="Q9" s="37" t="e">
        <f>N9*1000/#REF!/365</f>
        <v>#REF!</v>
      </c>
      <c r="R9" s="32" t="e">
        <f t="shared" si="1"/>
        <v>#REF!</v>
      </c>
      <c r="S9" s="18">
        <v>520.98</v>
      </c>
      <c r="T9" s="38">
        <v>1147</v>
      </c>
    </row>
    <row r="10" spans="3:20" ht="12.75" hidden="1" customHeight="1">
      <c r="C10" s="17" t="s">
        <v>5</v>
      </c>
      <c r="D10" s="80">
        <v>267.86290909090911</v>
      </c>
      <c r="E10" s="80">
        <v>82.666909090909087</v>
      </c>
      <c r="F10" s="80">
        <v>64.944000000000003</v>
      </c>
      <c r="G10" s="80">
        <v>59.907237032379506</v>
      </c>
      <c r="H10" s="80">
        <v>51.9103413966752</v>
      </c>
      <c r="I10" s="80">
        <v>37.427</v>
      </c>
      <c r="J10" s="80">
        <v>9.7721599999999977</v>
      </c>
      <c r="K10" s="80">
        <v>0.96750000000000003</v>
      </c>
      <c r="L10" s="18">
        <v>12.44</v>
      </c>
      <c r="M10" s="18">
        <v>105.34363636363636</v>
      </c>
      <c r="N10" s="18">
        <f t="shared" si="2"/>
        <v>693.24169297450931</v>
      </c>
      <c r="O10" s="32">
        <f t="shared" si="3"/>
        <v>0.84804197809910153</v>
      </c>
      <c r="P10" s="37">
        <f t="shared" si="0"/>
        <v>1.1969660071029935</v>
      </c>
      <c r="Q10" s="37" t="e">
        <f>N10*1000/#REF!/365</f>
        <v>#REF!</v>
      </c>
      <c r="R10" s="32" t="e">
        <f t="shared" si="1"/>
        <v>#REF!</v>
      </c>
      <c r="S10" s="18">
        <v>1179.6099999999999</v>
      </c>
      <c r="T10" s="38">
        <v>2700</v>
      </c>
    </row>
    <row r="11" spans="3:20" ht="12.75" hidden="1" customHeight="1">
      <c r="C11" s="17" t="s">
        <v>6</v>
      </c>
      <c r="D11" s="80">
        <v>41.303999999999995</v>
      </c>
      <c r="E11" s="80">
        <v>14.247272727272726</v>
      </c>
      <c r="F11" s="80">
        <v>8.2679999999999989</v>
      </c>
      <c r="G11" s="80">
        <v>7.0116493423360762</v>
      </c>
      <c r="H11" s="80"/>
      <c r="I11" s="80">
        <v>6.0739999999999998</v>
      </c>
      <c r="J11" s="80"/>
      <c r="K11" s="80">
        <v>9.6299999999999997E-2</v>
      </c>
      <c r="L11" s="18">
        <v>15.03</v>
      </c>
      <c r="M11" s="18">
        <v>7.6363636363636385</v>
      </c>
      <c r="N11" s="18">
        <f t="shared" si="2"/>
        <v>99.667585705972428</v>
      </c>
      <c r="O11" s="32">
        <f t="shared" si="3"/>
        <v>0.92338167336679011</v>
      </c>
      <c r="P11" s="37">
        <f t="shared" si="0"/>
        <v>1.2482091240417243</v>
      </c>
      <c r="Q11" s="37" t="e">
        <f>N11*1000/#REF!/365</f>
        <v>#REF!</v>
      </c>
      <c r="R11" s="32" t="e">
        <f t="shared" si="1"/>
        <v>#REF!</v>
      </c>
      <c r="S11" s="18">
        <v>148.97999999999999</v>
      </c>
      <c r="T11" s="38">
        <v>327</v>
      </c>
    </row>
    <row r="12" spans="3:20" ht="12.75" hidden="1" customHeight="1">
      <c r="C12" s="17" t="s">
        <v>7</v>
      </c>
      <c r="D12" s="80">
        <v>66.910909090909087</v>
      </c>
      <c r="E12" s="80">
        <v>24.190909090909091</v>
      </c>
      <c r="F12" s="80">
        <v>17.426181818181817</v>
      </c>
      <c r="G12" s="80">
        <v>13.193480988623591</v>
      </c>
      <c r="H12" s="80">
        <f>1.72*12</f>
        <v>20.64</v>
      </c>
      <c r="I12" s="80">
        <v>7.8479999999999999</v>
      </c>
      <c r="J12" s="80">
        <v>1.1200000000000001</v>
      </c>
      <c r="K12" s="80">
        <v>0.28260000000000002</v>
      </c>
      <c r="L12" s="18">
        <v>9.56</v>
      </c>
      <c r="M12" s="18">
        <v>14.527636363636365</v>
      </c>
      <c r="N12" s="18">
        <f t="shared" si="2"/>
        <v>175.69971735225997</v>
      </c>
      <c r="O12" s="32">
        <f t="shared" si="3"/>
        <v>0.91731553936134147</v>
      </c>
      <c r="P12" s="37">
        <f t="shared" si="0"/>
        <v>1.1115781572527679</v>
      </c>
      <c r="Q12" s="37" t="e">
        <f>N12*1000/#REF!/365</f>
        <v>#REF!</v>
      </c>
      <c r="R12" s="32" t="e">
        <f t="shared" si="1"/>
        <v>#REF!</v>
      </c>
      <c r="S12" s="18">
        <v>296.18</v>
      </c>
      <c r="T12" s="38">
        <v>730</v>
      </c>
    </row>
    <row r="13" spans="3:20" ht="12.75" hidden="1" customHeight="1">
      <c r="C13" s="17" t="s">
        <v>8</v>
      </c>
      <c r="D13" s="80">
        <v>341.52000000000004</v>
      </c>
      <c r="E13" s="80">
        <v>128.23745454545454</v>
      </c>
      <c r="F13" s="80">
        <v>78.765818181818176</v>
      </c>
      <c r="G13" s="80">
        <v>66.518884435703967</v>
      </c>
      <c r="H13" s="80">
        <v>54.994590264260829</v>
      </c>
      <c r="I13" s="80">
        <v>50.320999999999998</v>
      </c>
      <c r="J13" s="80">
        <v>18.23695</v>
      </c>
      <c r="K13" s="80"/>
      <c r="L13" s="18">
        <v>84.23</v>
      </c>
      <c r="M13" s="18">
        <v>111.65781818181819</v>
      </c>
      <c r="N13" s="18">
        <f t="shared" si="2"/>
        <v>934.48251560905578</v>
      </c>
      <c r="O13" s="32">
        <f t="shared" si="3"/>
        <v>0.88051374282905193</v>
      </c>
      <c r="P13" s="37">
        <f t="shared" si="0"/>
        <v>1.1658969476496335</v>
      </c>
      <c r="Q13" s="37" t="e">
        <f>N13*1000/#REF!/365</f>
        <v>#REF!</v>
      </c>
      <c r="R13" s="32" t="e">
        <f t="shared" si="1"/>
        <v>#REF!</v>
      </c>
      <c r="S13" s="18">
        <v>1640.93</v>
      </c>
      <c r="T13" s="38">
        <v>3856</v>
      </c>
    </row>
    <row r="14" spans="3:20" ht="12.75" hidden="1" customHeight="1">
      <c r="C14" s="17" t="s">
        <v>9</v>
      </c>
      <c r="D14" s="80">
        <v>380.49818181818176</v>
      </c>
      <c r="E14" s="80">
        <v>135.97854545454547</v>
      </c>
      <c r="F14" s="80">
        <v>102.70472727272725</v>
      </c>
      <c r="G14" s="80">
        <v>99.733299714928279</v>
      </c>
      <c r="H14" s="80">
        <v>29.37</v>
      </c>
      <c r="I14" s="80"/>
      <c r="J14" s="80">
        <v>1.3109999999999999</v>
      </c>
      <c r="K14" s="80"/>
      <c r="L14" s="18">
        <v>323.94</v>
      </c>
      <c r="M14" s="18">
        <v>117.31963636363636</v>
      </c>
      <c r="N14" s="18">
        <f t="shared" si="2"/>
        <v>1190.8553906240193</v>
      </c>
      <c r="O14" s="32">
        <f t="shared" si="3"/>
        <v>0.9014828859260906</v>
      </c>
      <c r="P14" s="37">
        <f t="shared" si="0"/>
        <v>1.3283505647441238</v>
      </c>
      <c r="Q14" s="37" t="e">
        <f>N14*1000/#REF!/365</f>
        <v>#REF!</v>
      </c>
      <c r="R14" s="32" t="e">
        <f t="shared" si="1"/>
        <v>#REF!</v>
      </c>
      <c r="S14" s="18">
        <v>1945.21</v>
      </c>
      <c r="T14" s="38">
        <v>4012</v>
      </c>
    </row>
    <row r="15" spans="3:20" ht="12.75" hidden="1" customHeight="1">
      <c r="C15" s="17" t="s">
        <v>10</v>
      </c>
      <c r="D15" s="80">
        <v>59.131636363636375</v>
      </c>
      <c r="E15" s="80">
        <v>20.378181818181819</v>
      </c>
      <c r="F15" s="80">
        <v>11.827636363636362</v>
      </c>
      <c r="G15" s="80">
        <v>10.031346197027338</v>
      </c>
      <c r="H15" s="80"/>
      <c r="I15" s="80">
        <v>7.0179999999999998</v>
      </c>
      <c r="J15" s="80">
        <v>0.72175999999999985</v>
      </c>
      <c r="K15" s="80"/>
      <c r="L15" s="18">
        <v>18.57</v>
      </c>
      <c r="M15" s="18">
        <v>11.098909090909093</v>
      </c>
      <c r="N15" s="18">
        <f t="shared" si="2"/>
        <v>138.777469833391</v>
      </c>
      <c r="O15" s="32">
        <f t="shared" si="3"/>
        <v>0.92002369617896995</v>
      </c>
      <c r="P15" s="37">
        <f t="shared" si="0"/>
        <v>0.62658245153528558</v>
      </c>
      <c r="Q15" s="37" t="e">
        <f>N15*1000/#REF!/365</f>
        <v>#REF!</v>
      </c>
      <c r="R15" s="32" t="e">
        <f t="shared" si="1"/>
        <v>#REF!</v>
      </c>
      <c r="S15" s="18">
        <v>114.58</v>
      </c>
      <c r="T15" s="38">
        <v>501</v>
      </c>
    </row>
    <row r="16" spans="3:20" ht="12.75" hidden="1" customHeight="1">
      <c r="C16" s="17" t="s">
        <v>54</v>
      </c>
      <c r="D16" s="80">
        <v>309.93163636363636</v>
      </c>
      <c r="E16" s="80">
        <v>128.55818181818182</v>
      </c>
      <c r="F16" s="80">
        <v>86.070545454545439</v>
      </c>
      <c r="G16" s="80">
        <v>90.691398670532649</v>
      </c>
      <c r="H16" s="80">
        <f>93.2402896085801+30.3591861164088</f>
        <v>123.59947572498891</v>
      </c>
      <c r="I16" s="80">
        <f>24.8355+8.2785</f>
        <v>33.113999999999997</v>
      </c>
      <c r="J16" s="80"/>
      <c r="K16" s="80">
        <v>0.87029999999999985</v>
      </c>
      <c r="L16" s="18">
        <v>164.58</v>
      </c>
      <c r="M16" s="18">
        <v>106.38545454545454</v>
      </c>
      <c r="N16" s="18">
        <f t="shared" si="2"/>
        <v>1043.8009925773399</v>
      </c>
      <c r="O16" s="32">
        <f t="shared" si="3"/>
        <v>0.89807879538151325</v>
      </c>
      <c r="P16" s="37">
        <f t="shared" si="0"/>
        <v>1.3545260091931006</v>
      </c>
      <c r="Q16" s="37" t="e">
        <f>N16*1000/#REF!/365</f>
        <v>#REF!</v>
      </c>
      <c r="R16" s="32" t="e">
        <f t="shared" si="1"/>
        <v>#REF!</v>
      </c>
      <c r="S16" s="18">
        <v>1785.78</v>
      </c>
      <c r="T16" s="38">
        <v>3612</v>
      </c>
    </row>
    <row r="17" spans="3:20" ht="12.75" hidden="1" customHeight="1">
      <c r="C17" s="17" t="s">
        <v>13</v>
      </c>
      <c r="D17" s="80">
        <v>498.39490909090898</v>
      </c>
      <c r="E17" s="80">
        <v>192.99927272727274</v>
      </c>
      <c r="F17" s="80">
        <v>123.56836363636361</v>
      </c>
      <c r="G17" s="80">
        <v>106.46423145763629</v>
      </c>
      <c r="H17" s="80">
        <v>45.468660194653992</v>
      </c>
      <c r="I17" s="80"/>
      <c r="J17" s="80">
        <v>22.763999999999999</v>
      </c>
      <c r="K17" s="80"/>
      <c r="L17" s="18">
        <v>328.02</v>
      </c>
      <c r="M17" s="18">
        <v>195.81381818181816</v>
      </c>
      <c r="N17" s="18">
        <f>SUM(D17:M17)</f>
        <v>1513.4932552886539</v>
      </c>
      <c r="O17" s="32">
        <f t="shared" si="3"/>
        <v>0.87062128126598592</v>
      </c>
      <c r="P17" s="37">
        <f t="shared" si="0"/>
        <v>1.2059717752178136</v>
      </c>
      <c r="Q17" s="37" t="e">
        <f>N17*1000/#REF!/365</f>
        <v>#REF!</v>
      </c>
      <c r="R17" s="32" t="e">
        <f t="shared" si="1"/>
        <v>#REF!</v>
      </c>
      <c r="S17" s="18">
        <v>2302.58</v>
      </c>
      <c r="T17" s="38">
        <v>5231</v>
      </c>
    </row>
    <row r="18" spans="3:20" ht="12.75" hidden="1" customHeight="1">
      <c r="C18" s="7" t="s">
        <v>14</v>
      </c>
      <c r="D18" s="82">
        <f>SUM(D4:D17)</f>
        <v>3086.6236363636367</v>
      </c>
      <c r="E18" s="82">
        <f t="shared" ref="E18:N18" si="4">SUM(E4:E17)</f>
        <v>1130.4436363636364</v>
      </c>
      <c r="F18" s="19">
        <f t="shared" si="4"/>
        <v>771.41236363636358</v>
      </c>
      <c r="G18" s="19">
        <f t="shared" si="4"/>
        <v>711.5168252131939</v>
      </c>
      <c r="H18" s="19">
        <f t="shared" si="4"/>
        <v>711.19331013614942</v>
      </c>
      <c r="I18" s="19">
        <f t="shared" si="4"/>
        <v>262.27600000000001</v>
      </c>
      <c r="J18" s="19">
        <f t="shared" si="4"/>
        <v>89.644000000000005</v>
      </c>
      <c r="K18" s="19">
        <f t="shared" si="4"/>
        <v>4.1525999999999996</v>
      </c>
      <c r="L18" s="82">
        <f t="shared" si="4"/>
        <v>1212.8200000000002</v>
      </c>
      <c r="M18" s="82">
        <f t="shared" si="4"/>
        <v>1179.4036363636365</v>
      </c>
      <c r="N18" s="82">
        <f t="shared" si="4"/>
        <v>9159.4860080766157</v>
      </c>
      <c r="O18" s="33">
        <f>SUM(D18:L18)/N18</f>
        <v>0.87123691926341007</v>
      </c>
      <c r="P18" s="39">
        <f t="shared" si="0"/>
        <v>1.2055704815768065</v>
      </c>
      <c r="Q18" s="39" t="e">
        <f>N18*1000/#REF!/365</f>
        <v>#REF!</v>
      </c>
      <c r="R18" s="33" t="e">
        <f>(Q18-P18)/P18</f>
        <v>#REF!</v>
      </c>
      <c r="S18" s="19">
        <f>SUM(S4:S17)</f>
        <v>13773.480000000001</v>
      </c>
      <c r="T18" s="19">
        <f>SUM(T4:T17)</f>
        <v>31301</v>
      </c>
    </row>
    <row r="19" spans="3:20" ht="15" hidden="1" customHeight="1">
      <c r="C19" s="14"/>
      <c r="D19" s="34">
        <f t="shared" ref="D19:M19" si="5">D18/$N$18</f>
        <v>0.33698655510166464</v>
      </c>
      <c r="E19" s="34">
        <f t="shared" si="5"/>
        <v>0.12341780263290301</v>
      </c>
      <c r="F19" s="34">
        <f t="shared" si="5"/>
        <v>8.422004935169404E-2</v>
      </c>
      <c r="G19" s="34">
        <f t="shared" si="5"/>
        <v>7.7680868182537249E-2</v>
      </c>
      <c r="H19" s="34">
        <f t="shared" si="5"/>
        <v>7.7645547960773803E-2</v>
      </c>
      <c r="I19" s="34">
        <f t="shared" si="5"/>
        <v>2.8634357841556973E-2</v>
      </c>
      <c r="J19" s="34">
        <f t="shared" si="5"/>
        <v>9.7870120573309537E-3</v>
      </c>
      <c r="K19" s="34">
        <f t="shared" si="5"/>
        <v>4.5336605092669349E-4</v>
      </c>
      <c r="L19" s="34">
        <f t="shared" si="5"/>
        <v>0.13241136008402268</v>
      </c>
      <c r="M19" s="34">
        <f t="shared" si="5"/>
        <v>0.12876308073659007</v>
      </c>
      <c r="N19" s="34">
        <f>SUM(D19:M19)</f>
        <v>1.0000000000000002</v>
      </c>
      <c r="O19" s="14"/>
      <c r="S19" s="14"/>
    </row>
    <row r="20" spans="3:20" ht="12.75" hidden="1" customHeight="1">
      <c r="M20" s="1"/>
    </row>
    <row r="21" spans="3:20" ht="12.75" hidden="1" customHeight="1">
      <c r="C21" s="17"/>
      <c r="D21" s="26"/>
      <c r="F21" s="76"/>
      <c r="G21" s="76"/>
    </row>
    <row r="22" spans="3:20" ht="12.75" hidden="1" customHeight="1">
      <c r="C22" s="17" t="s">
        <v>111</v>
      </c>
      <c r="D22" s="21">
        <v>92.29</v>
      </c>
      <c r="E22" s="24"/>
      <c r="F22" s="76"/>
      <c r="G22" s="77"/>
    </row>
    <row r="23" spans="3:20" ht="12.75" hidden="1" customHeight="1">
      <c r="C23" s="17" t="s">
        <v>26</v>
      </c>
      <c r="D23" s="65" t="s">
        <v>122</v>
      </c>
      <c r="E23" s="24"/>
      <c r="F23" s="76"/>
      <c r="G23" s="77"/>
    </row>
    <row r="24" spans="3:20" ht="12.75" hidden="1" customHeight="1">
      <c r="F24" s="76"/>
      <c r="G24" s="7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3:20" ht="12.75" hidden="1" customHeight="1">
      <c r="F25" s="76"/>
      <c r="G25" s="77"/>
      <c r="H25" s="647"/>
      <c r="I25" s="648"/>
      <c r="J25" s="648"/>
      <c r="K25" s="648"/>
      <c r="L25" s="494"/>
      <c r="M25" s="648"/>
      <c r="N25" s="648"/>
      <c r="O25" s="1"/>
      <c r="P25" s="1"/>
      <c r="Q25" s="1"/>
      <c r="R25" s="1"/>
      <c r="S25" s="1"/>
      <c r="T25" s="1"/>
    </row>
    <row r="26" spans="3:20" ht="12.75" hidden="1" customHeight="1">
      <c r="G26" s="595" t="s">
        <v>121</v>
      </c>
      <c r="H26" s="595"/>
      <c r="I26" s="595"/>
      <c r="J26" s="494"/>
      <c r="K26" s="158"/>
      <c r="L26" s="494"/>
      <c r="M26" s="494"/>
      <c r="N26" s="158"/>
      <c r="O26" s="1"/>
      <c r="P26" s="1"/>
      <c r="Q26" s="1"/>
      <c r="R26" s="1"/>
      <c r="S26" s="1"/>
      <c r="T26" s="1"/>
    </row>
    <row r="27" spans="3:20" ht="12.75" hidden="1" customHeight="1">
      <c r="D27" s="15" t="s">
        <v>29</v>
      </c>
      <c r="E27" s="15" t="s">
        <v>30</v>
      </c>
      <c r="F27" s="62" t="s">
        <v>27</v>
      </c>
      <c r="G27" s="62" t="s">
        <v>116</v>
      </c>
      <c r="H27" s="62" t="s">
        <v>117</v>
      </c>
      <c r="I27" s="62" t="s">
        <v>118</v>
      </c>
      <c r="J27" s="75" t="s">
        <v>119</v>
      </c>
      <c r="K27" s="75" t="s">
        <v>120</v>
      </c>
      <c r="L27" s="494"/>
      <c r="M27" s="75" t="s">
        <v>123</v>
      </c>
      <c r="N27" s="494"/>
      <c r="O27" s="494"/>
      <c r="P27" s="494"/>
      <c r="Q27" s="494"/>
      <c r="R27" s="494"/>
      <c r="S27" s="1"/>
      <c r="T27" s="1"/>
    </row>
    <row r="28" spans="3:20" ht="12.75" hidden="1" customHeight="1">
      <c r="C28" s="17" t="s">
        <v>0</v>
      </c>
      <c r="D28" s="6">
        <f>-'import de licitació'!J2-(-'import de licitació'!J2*0.1%)</f>
        <v>-56115.334726729205</v>
      </c>
      <c r="E28" s="6">
        <f>D28*0.0318</f>
        <v>-1784.4676443099888</v>
      </c>
      <c r="F28" s="6">
        <f t="shared" ref="F28:F41" si="6">-D4*$D$22</f>
        <v>-10020.680400000001</v>
      </c>
      <c r="G28" s="6">
        <v>2233.3921471768117</v>
      </c>
      <c r="H28" s="6">
        <v>1296.450008096067</v>
      </c>
      <c r="I28" s="6">
        <v>12765.434662706888</v>
      </c>
      <c r="J28" s="6">
        <v>6406.3936076339996</v>
      </c>
      <c r="K28" s="6">
        <v>3642.4536664909087</v>
      </c>
      <c r="L28" s="6">
        <f>J28+K28</f>
        <v>10048.847274124908</v>
      </c>
      <c r="M28" s="6">
        <v>719.12796502610718</v>
      </c>
      <c r="N28" s="78" t="s">
        <v>0</v>
      </c>
      <c r="P28" s="63"/>
      <c r="Q28" s="63"/>
      <c r="R28" s="63"/>
      <c r="S28" s="1"/>
      <c r="T28" s="66"/>
    </row>
    <row r="29" spans="3:20" ht="12.75" hidden="1" customHeight="1">
      <c r="C29" s="17" t="s">
        <v>1</v>
      </c>
      <c r="D29" s="6">
        <f>-'import de licitació'!J3-(-'import de licitació'!J3*0.1%)</f>
        <v>-398108.84013912891</v>
      </c>
      <c r="E29" s="6">
        <f t="shared" ref="E29:E41" si="7">D29*0.0318</f>
        <v>-12659.861116424299</v>
      </c>
      <c r="F29" s="6">
        <f t="shared" si="6"/>
        <v>-47284.664040000003</v>
      </c>
      <c r="G29" s="6">
        <v>6917.0806147980002</v>
      </c>
      <c r="H29" s="6">
        <v>6591.8000297627814</v>
      </c>
      <c r="I29" s="6">
        <v>59654.765342435814</v>
      </c>
      <c r="J29" s="6">
        <v>26572.140897976322</v>
      </c>
      <c r="K29" s="6">
        <v>17190.280073963637</v>
      </c>
      <c r="L29" s="6">
        <f t="shared" ref="L29:L41" si="8">J29+K29</f>
        <v>43762.420971939959</v>
      </c>
      <c r="M29" s="6">
        <v>3501.9527220565428</v>
      </c>
      <c r="N29" s="78" t="s">
        <v>1</v>
      </c>
      <c r="P29" s="63"/>
      <c r="Q29" s="63"/>
      <c r="R29" s="63"/>
      <c r="S29" s="1"/>
      <c r="T29" s="66"/>
    </row>
    <row r="30" spans="3:20" ht="12.75" hidden="1" customHeight="1">
      <c r="C30" s="17" t="s">
        <v>2</v>
      </c>
      <c r="D30" s="6">
        <f>-'import de licitació'!J4-(-'import de licitació'!J4*0.1%)</f>
        <v>-147884.16358654085</v>
      </c>
      <c r="E30" s="6">
        <f t="shared" si="7"/>
        <v>-4702.7164020519995</v>
      </c>
      <c r="F30" s="6">
        <f t="shared" si="6"/>
        <v>-17963.929680000005</v>
      </c>
      <c r="G30" s="6">
        <v>2692.6233444613181</v>
      </c>
      <c r="H30" s="6">
        <v>1899.6801905050174</v>
      </c>
      <c r="I30" s="6">
        <v>22942.754243737698</v>
      </c>
      <c r="J30" s="6">
        <v>11507.242524558</v>
      </c>
      <c r="K30" s="6">
        <v>6531.8230610727278</v>
      </c>
      <c r="L30" s="6">
        <f t="shared" si="8"/>
        <v>18039.065585630728</v>
      </c>
      <c r="M30" s="6">
        <v>2127.0494292791982</v>
      </c>
      <c r="N30" s="78" t="s">
        <v>2</v>
      </c>
      <c r="P30" s="63"/>
      <c r="Q30" s="63"/>
      <c r="R30" s="63"/>
      <c r="S30" s="1"/>
      <c r="T30" s="66"/>
    </row>
    <row r="31" spans="3:20" ht="12.75" hidden="1" customHeight="1">
      <c r="C31" s="17" t="s">
        <v>12</v>
      </c>
      <c r="D31" s="6">
        <f>-'import de licitació'!J5-(-'import de licitació'!J5*0.1%)</f>
        <v>-38424.018988962787</v>
      </c>
      <c r="E31" s="6">
        <f t="shared" si="7"/>
        <v>-1221.8838038490167</v>
      </c>
      <c r="F31" s="6">
        <f t="shared" si="6"/>
        <v>-6679.1112000000012</v>
      </c>
      <c r="G31" s="6">
        <v>1401.7061360812827</v>
      </c>
      <c r="H31" s="6">
        <v>849.32585945872393</v>
      </c>
      <c r="I31" s="6">
        <v>8375.1216567014017</v>
      </c>
      <c r="J31" s="6">
        <v>4269.9548502779999</v>
      </c>
      <c r="K31" s="6">
        <v>2427.8039712545456</v>
      </c>
      <c r="L31" s="6">
        <f t="shared" si="8"/>
        <v>6697.758821532545</v>
      </c>
      <c r="M31" s="6">
        <v>544.37615914897083</v>
      </c>
      <c r="N31" s="78" t="s">
        <v>12</v>
      </c>
      <c r="P31" s="63"/>
      <c r="Q31" s="63"/>
      <c r="R31" s="63"/>
      <c r="S31" s="1"/>
      <c r="T31" s="66"/>
    </row>
    <row r="32" spans="3:20" ht="12.75" hidden="1" customHeight="1">
      <c r="C32" s="17" t="s">
        <v>3</v>
      </c>
      <c r="D32" s="6">
        <f>-'import de licitació'!J6-(-'import de licitació'!J6*0.1%)</f>
        <v>-84344.211822044264</v>
      </c>
      <c r="E32" s="6">
        <f t="shared" si="7"/>
        <v>-2682.1459359410078</v>
      </c>
      <c r="F32" s="6">
        <f t="shared" si="6"/>
        <v>-9052.8435600000012</v>
      </c>
      <c r="G32" s="6">
        <v>1754.9173886056567</v>
      </c>
      <c r="H32" s="6">
        <v>1161.6677457831649</v>
      </c>
      <c r="I32" s="6">
        <v>12863.191730635868</v>
      </c>
      <c r="J32" s="6">
        <v>5787.6062081460004</v>
      </c>
      <c r="K32" s="6">
        <v>3290.6481642363642</v>
      </c>
      <c r="L32" s="6">
        <f t="shared" si="8"/>
        <v>9078.2543723823655</v>
      </c>
      <c r="M32" s="6">
        <v>559.19343616963386</v>
      </c>
      <c r="N32" s="78" t="s">
        <v>3</v>
      </c>
      <c r="P32" s="63"/>
      <c r="Q32" s="63"/>
      <c r="R32" s="63"/>
      <c r="S32" s="1"/>
      <c r="T32" s="66"/>
    </row>
    <row r="33" spans="1:209" ht="12.75" hidden="1" customHeight="1">
      <c r="C33" s="17" t="s">
        <v>4</v>
      </c>
      <c r="D33" s="6">
        <f>-'import de licitació'!J7-(-'import de licitació'!J7*0.1%)</f>
        <v>-110772.8354493259</v>
      </c>
      <c r="E33" s="6">
        <f t="shared" si="7"/>
        <v>-3522.5761672885637</v>
      </c>
      <c r="F33" s="6">
        <f t="shared" si="6"/>
        <v>-12462.271080000002</v>
      </c>
      <c r="G33" s="6">
        <v>1898.6972761934182</v>
      </c>
      <c r="H33" s="6">
        <v>1349.5698017184839</v>
      </c>
      <c r="I33" s="6">
        <v>16032.852440864026</v>
      </c>
      <c r="J33" s="6">
        <v>7980.2741682420001</v>
      </c>
      <c r="K33" s="6">
        <v>4531.1288371090914</v>
      </c>
      <c r="L33" s="6">
        <f t="shared" si="8"/>
        <v>12511.403005351091</v>
      </c>
      <c r="M33" s="6">
        <v>617.97532667112819</v>
      </c>
      <c r="N33" s="78" t="s">
        <v>4</v>
      </c>
      <c r="P33" s="63"/>
      <c r="Q33" s="63"/>
      <c r="R33" s="63"/>
      <c r="S33" s="1"/>
      <c r="T33" s="66"/>
    </row>
    <row r="34" spans="1:209" ht="12.75" hidden="1" customHeight="1">
      <c r="C34" s="17" t="s">
        <v>5</v>
      </c>
      <c r="D34" s="6">
        <f>-'import de licitació'!J8-(-'import de licitació'!J8*0.1%)</f>
        <v>-169115.17674301707</v>
      </c>
      <c r="E34" s="6">
        <f t="shared" si="7"/>
        <v>-5377.8626204279435</v>
      </c>
      <c r="F34" s="6">
        <f t="shared" si="6"/>
        <v>-24721.067880000002</v>
      </c>
      <c r="G34" s="6">
        <v>4323.2631427129118</v>
      </c>
      <c r="H34" s="6">
        <v>3061.8391618200603</v>
      </c>
      <c r="I34" s="6">
        <v>28308.678692048186</v>
      </c>
      <c r="J34" s="6">
        <v>15773.760480258001</v>
      </c>
      <c r="K34" s="6">
        <v>8983.1541492545457</v>
      </c>
      <c r="L34" s="6">
        <f t="shared" si="8"/>
        <v>24756.914629512547</v>
      </c>
      <c r="M34" s="6">
        <v>2696.8513240109578</v>
      </c>
      <c r="N34" s="78" t="s">
        <v>5</v>
      </c>
      <c r="P34" s="63"/>
      <c r="Q34" s="63"/>
      <c r="R34" s="63"/>
      <c r="S34" s="1"/>
      <c r="T34" s="66"/>
    </row>
    <row r="35" spans="1:209" ht="12.75" hidden="1" customHeight="1">
      <c r="C35" s="17" t="s">
        <v>6</v>
      </c>
      <c r="D35" s="6">
        <f>-'import de licitació'!J9-(-'import de licitació'!J9*0.1%)</f>
        <v>-29490.896407881155</v>
      </c>
      <c r="E35" s="6">
        <f t="shared" si="7"/>
        <v>-937.81050577062081</v>
      </c>
      <c r="F35" s="6">
        <f t="shared" si="6"/>
        <v>-3811.94616</v>
      </c>
      <c r="G35" s="6">
        <v>507.51474925301432</v>
      </c>
      <c r="H35" s="6">
        <v>387.94065141469628</v>
      </c>
      <c r="I35" s="6">
        <v>4879.9486259556725</v>
      </c>
      <c r="J35" s="6">
        <v>2441.7738243119998</v>
      </c>
      <c r="K35" s="6">
        <v>1386.0472232</v>
      </c>
      <c r="L35" s="6">
        <f t="shared" si="8"/>
        <v>3827.8210475119995</v>
      </c>
      <c r="M35" s="6">
        <v>414.34702588844783</v>
      </c>
      <c r="N35" s="78" t="s">
        <v>6</v>
      </c>
      <c r="P35" s="63"/>
      <c r="Q35" s="63"/>
      <c r="R35" s="63"/>
      <c r="S35" s="1"/>
      <c r="T35" s="66"/>
    </row>
    <row r="36" spans="1:209" ht="12.75" hidden="1" customHeight="1">
      <c r="C36" s="17" t="s">
        <v>7</v>
      </c>
      <c r="D36" s="6">
        <f>-'import de licitació'!J10-(-'import de licitació'!J10*0.1%)</f>
        <v>-59458.732639502268</v>
      </c>
      <c r="E36" s="6">
        <f t="shared" si="7"/>
        <v>-1890.7876979361722</v>
      </c>
      <c r="F36" s="6">
        <f t="shared" si="6"/>
        <v>-6175.2078000000001</v>
      </c>
      <c r="G36" s="6">
        <v>957.18623746758226</v>
      </c>
      <c r="H36" s="6">
        <v>819.89610556201478</v>
      </c>
      <c r="I36" s="6">
        <v>8285.6999461691903</v>
      </c>
      <c r="J36" s="6">
        <v>3950.3466139319999</v>
      </c>
      <c r="K36" s="6">
        <v>2244.8691506545456</v>
      </c>
      <c r="L36" s="6">
        <f t="shared" si="8"/>
        <v>6195.2157645865454</v>
      </c>
      <c r="M36" s="6">
        <v>508.13159673909053</v>
      </c>
      <c r="N36" s="78" t="s">
        <v>7</v>
      </c>
      <c r="P36" s="63"/>
      <c r="Q36" s="63"/>
      <c r="R36" s="63"/>
      <c r="S36" s="1"/>
      <c r="T36" s="66"/>
    </row>
    <row r="37" spans="1:209" ht="12.75" hidden="1" customHeight="1">
      <c r="C37" s="17" t="s">
        <v>8</v>
      </c>
      <c r="D37" s="6">
        <f>-'import de licitació'!J11-(-'import de licitació'!J11*0.1%)</f>
        <v>-273510.16110698029</v>
      </c>
      <c r="E37" s="6">
        <f t="shared" si="7"/>
        <v>-8697.6231232019745</v>
      </c>
      <c r="F37" s="6">
        <f t="shared" si="6"/>
        <v>-31518.880800000006</v>
      </c>
      <c r="G37" s="6">
        <v>4819.3202651864121</v>
      </c>
      <c r="H37" s="6">
        <v>3703.5034738555473</v>
      </c>
      <c r="I37" s="6">
        <v>43922.91822005545</v>
      </c>
      <c r="J37" s="6">
        <v>20146.402871646002</v>
      </c>
      <c r="K37" s="6">
        <v>11456.535650600001</v>
      </c>
      <c r="L37" s="6">
        <f t="shared" si="8"/>
        <v>31602.938522246004</v>
      </c>
      <c r="M37" s="6">
        <v>3473.8779395852184</v>
      </c>
      <c r="N37" s="78" t="s">
        <v>8</v>
      </c>
      <c r="P37" s="63"/>
      <c r="Q37" s="63"/>
      <c r="R37" s="63"/>
      <c r="S37" s="1"/>
      <c r="T37" s="66"/>
    </row>
    <row r="38" spans="1:209" ht="12.75" hidden="1" customHeight="1">
      <c r="C38" s="17" t="s">
        <v>9</v>
      </c>
      <c r="D38" s="6">
        <f>-'import de licitació'!J12-(-'import de licitació'!J12*0.1%)</f>
        <v>-299971.56266311265</v>
      </c>
      <c r="E38" s="6">
        <f t="shared" si="7"/>
        <v>-9539.0956926869821</v>
      </c>
      <c r="F38" s="6">
        <f t="shared" si="6"/>
        <v>-35116.177199999998</v>
      </c>
      <c r="G38" s="6">
        <v>7222.4203040169205</v>
      </c>
      <c r="H38" s="6">
        <v>4824.3284855737311</v>
      </c>
      <c r="I38" s="6">
        <v>46515.877744509395</v>
      </c>
      <c r="J38" s="6">
        <v>22503.022353780001</v>
      </c>
      <c r="K38" s="6">
        <v>12769.281267090908</v>
      </c>
      <c r="L38" s="6">
        <f t="shared" si="8"/>
        <v>35272.303620870909</v>
      </c>
      <c r="N38" s="78" t="s">
        <v>9</v>
      </c>
      <c r="P38" s="63"/>
      <c r="Q38" s="63"/>
      <c r="R38" s="63"/>
      <c r="S38" s="1"/>
      <c r="T38" s="66"/>
    </row>
    <row r="39" spans="1:209" ht="12.75" hidden="1" customHeight="1">
      <c r="C39" s="17" t="s">
        <v>10</v>
      </c>
      <c r="D39" s="6">
        <f>-'import de licitació'!J13-(-'import de licitació'!J13*0.1%)</f>
        <v>-54242.156425169393</v>
      </c>
      <c r="E39" s="6">
        <f t="shared" si="7"/>
        <v>-1724.9005743203868</v>
      </c>
      <c r="F39" s="6">
        <f t="shared" si="6"/>
        <v>-5457.2587200000016</v>
      </c>
      <c r="G39" s="6">
        <v>725.8792767857085</v>
      </c>
      <c r="H39" s="6">
        <v>554.97195718427554</v>
      </c>
      <c r="I39" s="6">
        <v>6979.9421059361675</v>
      </c>
      <c r="J39" s="6">
        <v>3495.6744551640004</v>
      </c>
      <c r="K39" s="6">
        <v>1984.2914222181821</v>
      </c>
      <c r="L39" s="6">
        <f t="shared" si="8"/>
        <v>5479.965877382183</v>
      </c>
      <c r="M39" s="6">
        <v>487.91310274826418</v>
      </c>
      <c r="N39" s="78" t="s">
        <v>10</v>
      </c>
      <c r="P39" s="63"/>
      <c r="Q39" s="63"/>
      <c r="R39" s="63"/>
      <c r="S39" s="1"/>
      <c r="T39" s="66"/>
    </row>
    <row r="40" spans="1:209" ht="12.75" hidden="1" customHeight="1">
      <c r="C40" s="17" t="s">
        <v>11</v>
      </c>
      <c r="D40" s="6">
        <f>-'import de licitació'!J14-(-'import de licitació'!J14*0.1%)</f>
        <v>-371878.1129567434</v>
      </c>
      <c r="E40" s="6">
        <f t="shared" si="7"/>
        <v>-11825.723992024441</v>
      </c>
      <c r="F40" s="6">
        <f t="shared" si="6"/>
        <v>-28603.59072</v>
      </c>
      <c r="G40" s="6">
        <v>6544.3824228953308</v>
      </c>
      <c r="H40" s="6">
        <v>4042.8944403663609</v>
      </c>
      <c r="I40" s="6">
        <v>43974.571612550149</v>
      </c>
      <c r="J40" s="6">
        <v>18291.851066039999</v>
      </c>
      <c r="K40" s="6">
        <v>10397.684425818181</v>
      </c>
      <c r="L40" s="6">
        <f t="shared" si="8"/>
        <v>28689.53549185818</v>
      </c>
      <c r="M40" s="6">
        <v>2226.224372015371</v>
      </c>
      <c r="N40" s="78" t="s">
        <v>11</v>
      </c>
      <c r="P40" s="63"/>
      <c r="Q40" s="63"/>
      <c r="R40" s="63"/>
      <c r="S40" s="1"/>
      <c r="T40" s="66"/>
    </row>
    <row r="41" spans="1:209" ht="12.75" hidden="1" customHeight="1">
      <c r="C41" s="17" t="s">
        <v>13</v>
      </c>
      <c r="D41" s="6">
        <f>-'import de licitació'!J15-(-'import de licitació'!J15*0.1%)</f>
        <v>-421343.8841350638</v>
      </c>
      <c r="E41" s="6">
        <f t="shared" si="7"/>
        <v>-13398.735515495029</v>
      </c>
      <c r="F41" s="6">
        <f t="shared" si="6"/>
        <v>-45996.86615999999</v>
      </c>
      <c r="G41" s="6">
        <v>6148.9603684813392</v>
      </c>
      <c r="H41" s="6">
        <v>5887.442117008789</v>
      </c>
      <c r="I41" s="6">
        <v>60513.504017068102</v>
      </c>
      <c r="J41" s="6">
        <v>25841.940503516162</v>
      </c>
      <c r="K41" s="6">
        <v>16721.411179254545</v>
      </c>
      <c r="L41" s="6">
        <f t="shared" si="8"/>
        <v>42563.351682770706</v>
      </c>
      <c r="N41" s="78" t="s">
        <v>13</v>
      </c>
      <c r="P41" s="63"/>
      <c r="Q41" s="63"/>
      <c r="R41" s="63"/>
      <c r="S41" s="1"/>
      <c r="T41" s="66"/>
    </row>
    <row r="42" spans="1:209" ht="12.75" hidden="1" customHeight="1">
      <c r="D42" s="6">
        <f>SUM(D28:D41)</f>
        <v>-2514660.0877902019</v>
      </c>
      <c r="E42" s="6">
        <f>D42*0.0312</f>
        <v>-78457.394739054289</v>
      </c>
      <c r="F42" s="6">
        <f>SUM(F28:F41)</f>
        <v>-284864.49540000007</v>
      </c>
      <c r="K42" s="64"/>
      <c r="L42" s="64"/>
      <c r="M42" s="64"/>
      <c r="N42" s="64"/>
      <c r="O42" s="1"/>
      <c r="P42" s="63"/>
      <c r="Q42" s="63"/>
      <c r="R42" s="63"/>
      <c r="S42" s="1"/>
      <c r="T42" s="42"/>
    </row>
    <row r="43" spans="1:209" ht="12.75" hidden="1" customHeight="1">
      <c r="C43" s="35"/>
      <c r="D43" s="42"/>
      <c r="E43" s="43"/>
      <c r="F43" s="41"/>
      <c r="G43" s="41"/>
      <c r="I43" s="73"/>
      <c r="J43" s="72"/>
      <c r="L43" s="42"/>
      <c r="M43" s="79"/>
      <c r="T43" s="1"/>
    </row>
    <row r="44" spans="1:209" ht="12.75" hidden="1" customHeight="1">
      <c r="C44" s="1"/>
      <c r="D44" s="1"/>
      <c r="E44" s="1"/>
      <c r="F44" s="1"/>
      <c r="G44" s="1"/>
      <c r="H44" s="71"/>
      <c r="I44" s="73"/>
      <c r="J44" s="72"/>
      <c r="K44" s="20"/>
      <c r="L44" s="1"/>
      <c r="M44" s="79"/>
    </row>
    <row r="45" spans="1:209" ht="12.75" hidden="1" customHeight="1">
      <c r="C45" s="596" t="s">
        <v>124</v>
      </c>
      <c r="D45" s="596"/>
      <c r="E45" s="596"/>
      <c r="F45" s="31"/>
      <c r="H45" s="71"/>
      <c r="I45" s="73"/>
      <c r="J45" s="72"/>
      <c r="K45" s="31"/>
      <c r="O45" s="31"/>
    </row>
    <row r="46" spans="1:209" ht="23">
      <c r="A46" s="638" t="s">
        <v>427</v>
      </c>
      <c r="B46" s="639"/>
      <c r="C46" s="121" t="s">
        <v>32</v>
      </c>
      <c r="D46" s="121" t="s">
        <v>38</v>
      </c>
      <c r="E46" s="121" t="s">
        <v>37</v>
      </c>
      <c r="F46" s="121" t="s">
        <v>39</v>
      </c>
      <c r="G46" s="121" t="s">
        <v>40</v>
      </c>
      <c r="H46" s="121" t="s">
        <v>41</v>
      </c>
      <c r="I46" s="121" t="s">
        <v>42</v>
      </c>
      <c r="J46" s="121" t="s">
        <v>43</v>
      </c>
      <c r="K46" s="121" t="s">
        <v>44</v>
      </c>
      <c r="L46" s="121" t="s">
        <v>45</v>
      </c>
      <c r="M46" s="121" t="s">
        <v>46</v>
      </c>
      <c r="N46" s="121" t="s">
        <v>47</v>
      </c>
      <c r="O46" s="121" t="s">
        <v>48</v>
      </c>
      <c r="P46" s="121" t="s">
        <v>49</v>
      </c>
      <c r="Q46" s="121" t="s">
        <v>14</v>
      </c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7"/>
      <c r="BN46" s="157"/>
      <c r="BO46" s="157"/>
      <c r="BP46" s="157"/>
      <c r="BQ46" s="157"/>
      <c r="BR46" s="157"/>
      <c r="BS46" s="157"/>
      <c r="BT46" s="157"/>
      <c r="BU46" s="157"/>
      <c r="BV46" s="157"/>
      <c r="BW46" s="157"/>
      <c r="BX46" s="157"/>
      <c r="BY46" s="157"/>
      <c r="BZ46" s="157"/>
      <c r="CA46" s="157"/>
      <c r="CB46" s="157"/>
      <c r="CC46" s="157"/>
      <c r="CD46" s="157"/>
      <c r="CE46" s="157"/>
      <c r="CF46" s="157"/>
      <c r="CG46" s="157"/>
      <c r="CH46" s="157"/>
      <c r="CI46" s="157"/>
      <c r="CJ46" s="157"/>
      <c r="CK46" s="157"/>
      <c r="CL46" s="157"/>
      <c r="CM46" s="157"/>
      <c r="CN46" s="157"/>
      <c r="CO46" s="157"/>
      <c r="CP46" s="157"/>
      <c r="CQ46" s="157"/>
      <c r="CR46" s="157"/>
      <c r="CS46" s="157"/>
      <c r="CT46" s="157"/>
      <c r="CU46" s="157"/>
      <c r="CV46" s="157"/>
      <c r="CW46" s="157"/>
      <c r="CX46" s="157"/>
      <c r="CY46" s="157"/>
      <c r="CZ46" s="157"/>
      <c r="DA46" s="157"/>
      <c r="DB46" s="157"/>
      <c r="DC46" s="157"/>
      <c r="DD46" s="157"/>
      <c r="DE46" s="157"/>
      <c r="DF46" s="157"/>
      <c r="DG46" s="157"/>
      <c r="DH46" s="157"/>
      <c r="DI46" s="157"/>
      <c r="DJ46" s="157"/>
      <c r="DK46" s="157"/>
      <c r="DL46" s="157"/>
      <c r="DM46" s="157"/>
      <c r="DN46" s="157"/>
      <c r="DO46" s="157"/>
      <c r="DP46" s="157"/>
      <c r="DQ46" s="157"/>
      <c r="DR46" s="157"/>
      <c r="DS46" s="157"/>
      <c r="DT46" s="157"/>
      <c r="DU46" s="157"/>
      <c r="DV46" s="157"/>
      <c r="DW46" s="157"/>
      <c r="DX46" s="157"/>
      <c r="DY46" s="157"/>
      <c r="DZ46" s="157"/>
      <c r="EA46" s="157"/>
      <c r="EB46" s="157"/>
      <c r="EC46" s="157"/>
      <c r="ED46" s="157"/>
      <c r="EE46" s="157"/>
      <c r="EF46" s="157"/>
      <c r="EG46" s="157"/>
      <c r="EH46" s="157"/>
      <c r="EI46" s="157"/>
      <c r="EJ46" s="157"/>
      <c r="EK46" s="157"/>
      <c r="EL46" s="157"/>
      <c r="EM46" s="157"/>
      <c r="EN46" s="157"/>
      <c r="EO46" s="157"/>
      <c r="EP46" s="157"/>
      <c r="EQ46" s="157"/>
      <c r="ER46" s="157"/>
      <c r="ES46" s="157"/>
      <c r="ET46" s="157"/>
      <c r="EU46" s="157"/>
      <c r="EV46" s="157"/>
      <c r="EW46" s="157"/>
      <c r="EX46" s="157"/>
      <c r="EY46" s="157"/>
      <c r="EZ46" s="157"/>
      <c r="FA46" s="157"/>
      <c r="FB46" s="157"/>
      <c r="FC46" s="157"/>
      <c r="FD46" s="157"/>
      <c r="FE46" s="157"/>
      <c r="FF46" s="157"/>
      <c r="FG46" s="157"/>
      <c r="FH46" s="157"/>
      <c r="FI46" s="157"/>
      <c r="FJ46" s="157"/>
      <c r="FK46" s="157"/>
      <c r="FL46" s="157"/>
      <c r="FM46" s="157"/>
      <c r="FN46" s="157"/>
      <c r="FO46" s="157"/>
      <c r="FP46" s="157"/>
      <c r="FQ46" s="157"/>
      <c r="FR46" s="157"/>
      <c r="FS46" s="157"/>
      <c r="FT46" s="157"/>
      <c r="FU46" s="157"/>
      <c r="FV46" s="157"/>
      <c r="FW46" s="157"/>
      <c r="FX46" s="157"/>
      <c r="FY46" s="157"/>
      <c r="FZ46" s="157"/>
      <c r="GA46" s="157"/>
      <c r="GB46" s="157"/>
      <c r="GC46" s="157"/>
      <c r="GD46" s="157"/>
      <c r="GE46" s="157"/>
      <c r="GF46" s="157"/>
      <c r="GG46" s="157"/>
      <c r="GH46" s="157"/>
      <c r="GI46" s="157"/>
      <c r="GJ46" s="157"/>
      <c r="GK46" s="157"/>
      <c r="GL46" s="157"/>
      <c r="GM46" s="157"/>
      <c r="GN46" s="157"/>
      <c r="GO46" s="157"/>
      <c r="GP46" s="157"/>
      <c r="GQ46" s="157"/>
      <c r="GR46" s="157"/>
      <c r="GS46" s="157"/>
      <c r="GT46" s="157"/>
      <c r="GU46" s="157"/>
      <c r="GV46" s="157"/>
      <c r="GW46" s="157"/>
      <c r="GX46" s="157"/>
      <c r="GY46" s="157"/>
      <c r="GZ46" s="157"/>
      <c r="HA46" s="157"/>
    </row>
    <row r="47" spans="1:209" s="162" customFormat="1">
      <c r="A47" s="599" t="s">
        <v>171</v>
      </c>
      <c r="B47" s="159" t="s">
        <v>445</v>
      </c>
      <c r="C47" s="160" t="e">
        <f>'COST SERVEI'!#REF!</f>
        <v>#REF!</v>
      </c>
      <c r="D47" s="161" t="e">
        <f>'COST SERVEI'!#REF!</f>
        <v>#REF!</v>
      </c>
      <c r="E47" s="161" t="e">
        <f>'COST SERVEI'!#REF!</f>
        <v>#REF!</v>
      </c>
      <c r="F47" s="161" t="e">
        <f>'COST SERVEI'!#REF!</f>
        <v>#REF!</v>
      </c>
      <c r="G47" s="161" t="e">
        <f>'COST SERVEI'!#REF!</f>
        <v>#REF!</v>
      </c>
      <c r="H47" s="161" t="e">
        <f>'COST SERVEI'!#REF!</f>
        <v>#REF!</v>
      </c>
      <c r="I47" s="161" t="e">
        <f>'COST SERVEI'!#REF!</f>
        <v>#REF!</v>
      </c>
      <c r="J47" s="161" t="e">
        <f>'COST SERVEI'!#REF!</f>
        <v>#REF!</v>
      </c>
      <c r="K47" s="161" t="e">
        <f>'COST SERVEI'!#REF!</f>
        <v>#REF!</v>
      </c>
      <c r="L47" s="161" t="e">
        <f>'COST SERVEI'!#REF!</f>
        <v>#REF!</v>
      </c>
      <c r="M47" s="161" t="e">
        <f>'COST SERVEI'!#REF!</f>
        <v>#REF!</v>
      </c>
      <c r="N47" s="161" t="e">
        <f>'COST SERVEI'!#REF!</f>
        <v>#REF!</v>
      </c>
      <c r="O47" s="161" t="e">
        <f>'COST SERVEI'!#REF!</f>
        <v>#REF!</v>
      </c>
      <c r="P47" s="161" t="e">
        <f>'COST SERVEI'!#REF!</f>
        <v>#REF!</v>
      </c>
      <c r="Q47" s="569">
        <f>'COST SERVEI'!Q6</f>
        <v>-2623002.3591006463</v>
      </c>
      <c r="R47" s="200">
        <f>Q47/$Q$49</f>
        <v>0.84562913200005685</v>
      </c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87"/>
      <c r="BD47" s="187"/>
      <c r="BE47" s="187"/>
      <c r="BF47" s="187"/>
      <c r="BG47" s="187"/>
      <c r="BH47" s="187"/>
      <c r="BI47" s="187"/>
      <c r="BJ47" s="187"/>
      <c r="BK47" s="187"/>
      <c r="BL47" s="187"/>
      <c r="BM47" s="187"/>
      <c r="BN47" s="187"/>
      <c r="BO47" s="187"/>
      <c r="BP47" s="187"/>
      <c r="BQ47" s="187"/>
      <c r="BR47" s="187"/>
      <c r="BS47" s="187"/>
      <c r="BT47" s="187"/>
      <c r="BU47" s="187"/>
      <c r="BV47" s="187"/>
      <c r="BW47" s="187"/>
      <c r="BX47" s="187"/>
      <c r="BY47" s="187"/>
      <c r="BZ47" s="187"/>
      <c r="CA47" s="187"/>
      <c r="CB47" s="187"/>
      <c r="CC47" s="187"/>
      <c r="CD47" s="187"/>
      <c r="CE47" s="187"/>
      <c r="CF47" s="187"/>
      <c r="CG47" s="187"/>
      <c r="CH47" s="187"/>
      <c r="CI47" s="187"/>
      <c r="CJ47" s="187"/>
      <c r="CK47" s="187"/>
      <c r="CL47" s="187"/>
      <c r="CM47" s="187"/>
      <c r="CN47" s="187"/>
      <c r="CO47" s="187"/>
      <c r="CP47" s="187"/>
      <c r="CQ47" s="187"/>
      <c r="CR47" s="187"/>
      <c r="CS47" s="187"/>
      <c r="CT47" s="187"/>
      <c r="CU47" s="187"/>
      <c r="CV47" s="187"/>
      <c r="CW47" s="187"/>
      <c r="CX47" s="187"/>
      <c r="CY47" s="187"/>
      <c r="CZ47" s="187"/>
      <c r="DA47" s="187"/>
      <c r="DB47" s="187"/>
      <c r="DC47" s="187"/>
      <c r="DD47" s="187"/>
      <c r="DE47" s="187"/>
      <c r="DF47" s="187"/>
      <c r="DG47" s="187"/>
      <c r="DH47" s="187"/>
      <c r="DI47" s="187"/>
      <c r="DJ47" s="187"/>
      <c r="DK47" s="187"/>
      <c r="DL47" s="187"/>
      <c r="DM47" s="187"/>
      <c r="DN47" s="187"/>
      <c r="DO47" s="187"/>
      <c r="DP47" s="187"/>
      <c r="DQ47" s="187"/>
      <c r="DR47" s="187"/>
      <c r="DS47" s="187"/>
      <c r="DT47" s="187"/>
      <c r="DU47" s="187"/>
      <c r="DV47" s="187"/>
      <c r="DW47" s="187"/>
      <c r="DX47" s="187"/>
      <c r="DY47" s="187"/>
      <c r="DZ47" s="187"/>
      <c r="EA47" s="187"/>
      <c r="EB47" s="187"/>
      <c r="EC47" s="187"/>
      <c r="ED47" s="187"/>
      <c r="EE47" s="187"/>
      <c r="EF47" s="187"/>
      <c r="EG47" s="187"/>
      <c r="EH47" s="187"/>
      <c r="EI47" s="187"/>
      <c r="EJ47" s="187"/>
      <c r="EK47" s="187"/>
      <c r="EL47" s="187"/>
      <c r="EM47" s="187"/>
      <c r="EN47" s="187"/>
      <c r="EO47" s="187"/>
      <c r="EP47" s="187"/>
      <c r="EQ47" s="187"/>
      <c r="ER47" s="187"/>
      <c r="ES47" s="187"/>
      <c r="ET47" s="187"/>
      <c r="EU47" s="187"/>
      <c r="EV47" s="187"/>
      <c r="EW47" s="187"/>
      <c r="EX47" s="187"/>
      <c r="EY47" s="187"/>
      <c r="EZ47" s="187"/>
      <c r="FA47" s="187"/>
      <c r="FB47" s="187"/>
      <c r="FC47" s="187"/>
      <c r="FD47" s="187"/>
      <c r="FE47" s="187"/>
      <c r="FF47" s="187"/>
      <c r="FG47" s="187"/>
      <c r="FH47" s="187"/>
      <c r="FI47" s="187"/>
      <c r="FJ47" s="187"/>
      <c r="FK47" s="187"/>
      <c r="FL47" s="187"/>
      <c r="FM47" s="187"/>
      <c r="FN47" s="187"/>
      <c r="FO47" s="187"/>
      <c r="FP47" s="187"/>
      <c r="FQ47" s="187"/>
      <c r="FR47" s="187"/>
      <c r="FS47" s="187"/>
      <c r="FT47" s="187"/>
      <c r="FU47" s="187"/>
      <c r="FV47" s="187"/>
      <c r="FW47" s="187"/>
      <c r="FX47" s="187"/>
      <c r="FY47" s="187"/>
      <c r="FZ47" s="187"/>
      <c r="GA47" s="187"/>
      <c r="GB47" s="187"/>
      <c r="GC47" s="187"/>
      <c r="GD47" s="187"/>
      <c r="GE47" s="187"/>
      <c r="GF47" s="187"/>
      <c r="GG47" s="187"/>
      <c r="GH47" s="187"/>
      <c r="GI47" s="187"/>
      <c r="GJ47" s="187"/>
      <c r="GK47" s="187"/>
      <c r="GL47" s="187"/>
      <c r="GM47" s="187"/>
      <c r="GN47" s="187"/>
      <c r="GO47" s="187"/>
      <c r="GP47" s="187"/>
      <c r="GQ47" s="187"/>
      <c r="GR47" s="187"/>
      <c r="GS47" s="187"/>
      <c r="GT47" s="187"/>
      <c r="GU47" s="187"/>
      <c r="GV47" s="187"/>
      <c r="GW47" s="187"/>
      <c r="GX47" s="187"/>
      <c r="GY47" s="187"/>
      <c r="GZ47" s="187"/>
      <c r="HA47" s="187"/>
    </row>
    <row r="48" spans="1:209" s="162" customFormat="1">
      <c r="A48" s="600"/>
      <c r="B48" s="168" t="s">
        <v>446</v>
      </c>
      <c r="C48" s="184" t="e">
        <f>'COST SERVEI'!#REF!</f>
        <v>#REF!</v>
      </c>
      <c r="D48" s="185" t="e">
        <f>'COST SERVEI'!#REF!</f>
        <v>#REF!</v>
      </c>
      <c r="E48" s="185" t="e">
        <f>'COST SERVEI'!#REF!</f>
        <v>#REF!</v>
      </c>
      <c r="F48" s="185" t="e">
        <f>'COST SERVEI'!#REF!</f>
        <v>#REF!</v>
      </c>
      <c r="G48" s="185" t="e">
        <f>'COST SERVEI'!#REF!</f>
        <v>#REF!</v>
      </c>
      <c r="H48" s="185" t="e">
        <f>'COST SERVEI'!#REF!</f>
        <v>#REF!</v>
      </c>
      <c r="I48" s="185" t="e">
        <f>'COST SERVEI'!#REF!</f>
        <v>#REF!</v>
      </c>
      <c r="J48" s="185" t="e">
        <f>'COST SERVEI'!#REF!</f>
        <v>#REF!</v>
      </c>
      <c r="K48" s="185" t="e">
        <f>'COST SERVEI'!#REF!</f>
        <v>#REF!</v>
      </c>
      <c r="L48" s="185" t="e">
        <f>'COST SERVEI'!#REF!</f>
        <v>#REF!</v>
      </c>
      <c r="M48" s="185" t="e">
        <f>'COST SERVEI'!#REF!</f>
        <v>#REF!</v>
      </c>
      <c r="N48" s="185" t="e">
        <f>'COST SERVEI'!#REF!</f>
        <v>#REF!</v>
      </c>
      <c r="O48" s="185" t="e">
        <f>'COST SERVEI'!#REF!</f>
        <v>#REF!</v>
      </c>
      <c r="P48" s="185" t="e">
        <f>'COST SERVEI'!#REF!</f>
        <v>#REF!</v>
      </c>
      <c r="Q48" s="570">
        <f>'COST SERVEI'!Q8</f>
        <v>-478833.01983999996</v>
      </c>
      <c r="R48" s="200">
        <f>Q48/$Q$49</f>
        <v>0.15437086799994307</v>
      </c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7"/>
      <c r="BC48" s="187"/>
      <c r="BD48" s="187"/>
      <c r="BE48" s="187"/>
      <c r="BF48" s="187"/>
      <c r="BG48" s="187"/>
      <c r="BH48" s="187"/>
      <c r="BI48" s="187"/>
      <c r="BJ48" s="187"/>
      <c r="BK48" s="187"/>
      <c r="BL48" s="187"/>
      <c r="BM48" s="187"/>
      <c r="BN48" s="187"/>
      <c r="BO48" s="187"/>
      <c r="BP48" s="187"/>
      <c r="BQ48" s="187"/>
      <c r="BR48" s="187"/>
      <c r="BS48" s="187"/>
      <c r="BT48" s="187"/>
      <c r="BU48" s="187"/>
      <c r="BV48" s="187"/>
      <c r="BW48" s="187"/>
      <c r="BX48" s="187"/>
      <c r="BY48" s="187"/>
      <c r="BZ48" s="187"/>
      <c r="CA48" s="187"/>
      <c r="CB48" s="187"/>
      <c r="CC48" s="187"/>
      <c r="CD48" s="187"/>
      <c r="CE48" s="187"/>
      <c r="CF48" s="187"/>
      <c r="CG48" s="187"/>
      <c r="CH48" s="187"/>
      <c r="CI48" s="187"/>
      <c r="CJ48" s="187"/>
      <c r="CK48" s="187"/>
      <c r="CL48" s="187"/>
      <c r="CM48" s="187"/>
      <c r="CN48" s="187"/>
      <c r="CO48" s="187"/>
      <c r="CP48" s="187"/>
      <c r="CQ48" s="187"/>
      <c r="CR48" s="187"/>
      <c r="CS48" s="187"/>
      <c r="CT48" s="187"/>
      <c r="CU48" s="187"/>
      <c r="CV48" s="187"/>
      <c r="CW48" s="187"/>
      <c r="CX48" s="187"/>
      <c r="CY48" s="187"/>
      <c r="CZ48" s="187"/>
      <c r="DA48" s="187"/>
      <c r="DB48" s="187"/>
      <c r="DC48" s="187"/>
      <c r="DD48" s="187"/>
      <c r="DE48" s="187"/>
      <c r="DF48" s="187"/>
      <c r="DG48" s="187"/>
      <c r="DH48" s="187"/>
      <c r="DI48" s="187"/>
      <c r="DJ48" s="187"/>
      <c r="DK48" s="187"/>
      <c r="DL48" s="187"/>
      <c r="DM48" s="187"/>
      <c r="DN48" s="187"/>
      <c r="DO48" s="187"/>
      <c r="DP48" s="187"/>
      <c r="DQ48" s="187"/>
      <c r="DR48" s="187"/>
      <c r="DS48" s="187"/>
      <c r="DT48" s="187"/>
      <c r="DU48" s="187"/>
      <c r="DV48" s="187"/>
      <c r="DW48" s="187"/>
      <c r="DX48" s="187"/>
      <c r="DY48" s="187"/>
      <c r="DZ48" s="187"/>
      <c r="EA48" s="187"/>
      <c r="EB48" s="187"/>
      <c r="EC48" s="187"/>
      <c r="ED48" s="187"/>
      <c r="EE48" s="187"/>
      <c r="EF48" s="187"/>
      <c r="EG48" s="187"/>
      <c r="EH48" s="187"/>
      <c r="EI48" s="187"/>
      <c r="EJ48" s="187"/>
      <c r="EK48" s="187"/>
      <c r="EL48" s="187"/>
      <c r="EM48" s="187"/>
      <c r="EN48" s="187"/>
      <c r="EO48" s="187"/>
      <c r="EP48" s="187"/>
      <c r="EQ48" s="187"/>
      <c r="ER48" s="187"/>
      <c r="ES48" s="187"/>
      <c r="ET48" s="187"/>
      <c r="EU48" s="187"/>
      <c r="EV48" s="187"/>
      <c r="EW48" s="187"/>
      <c r="EX48" s="187"/>
      <c r="EY48" s="187"/>
      <c r="EZ48" s="187"/>
      <c r="FA48" s="187"/>
      <c r="FB48" s="187"/>
      <c r="FC48" s="187"/>
      <c r="FD48" s="187"/>
      <c r="FE48" s="187"/>
      <c r="FF48" s="187"/>
      <c r="FG48" s="187"/>
      <c r="FH48" s="187"/>
      <c r="FI48" s="187"/>
      <c r="FJ48" s="187"/>
      <c r="FK48" s="187"/>
      <c r="FL48" s="187"/>
      <c r="FM48" s="187"/>
      <c r="FN48" s="187"/>
      <c r="FO48" s="187"/>
      <c r="FP48" s="187"/>
      <c r="FQ48" s="187"/>
      <c r="FR48" s="187"/>
      <c r="FS48" s="187"/>
      <c r="FT48" s="187"/>
      <c r="FU48" s="187"/>
      <c r="FV48" s="187"/>
      <c r="FW48" s="187"/>
      <c r="FX48" s="187"/>
      <c r="FY48" s="187"/>
      <c r="FZ48" s="187"/>
      <c r="GA48" s="187"/>
      <c r="GB48" s="187"/>
      <c r="GC48" s="187"/>
      <c r="GD48" s="187"/>
      <c r="GE48" s="187"/>
      <c r="GF48" s="187"/>
      <c r="GG48" s="187"/>
      <c r="GH48" s="187"/>
      <c r="GI48" s="187"/>
      <c r="GJ48" s="187"/>
      <c r="GK48" s="187"/>
      <c r="GL48" s="187"/>
      <c r="GM48" s="187"/>
      <c r="GN48" s="187"/>
      <c r="GO48" s="187"/>
      <c r="GP48" s="187"/>
      <c r="GQ48" s="187"/>
      <c r="GR48" s="187"/>
      <c r="GS48" s="187"/>
      <c r="GT48" s="187"/>
      <c r="GU48" s="187"/>
      <c r="GV48" s="187"/>
      <c r="GW48" s="187"/>
      <c r="GX48" s="187"/>
      <c r="GY48" s="187"/>
      <c r="GZ48" s="187"/>
      <c r="HA48" s="187"/>
    </row>
    <row r="49" spans="1:209" s="171" customFormat="1" ht="25.5">
      <c r="A49" s="601"/>
      <c r="B49" s="169" t="s">
        <v>173</v>
      </c>
      <c r="C49" s="170" t="e">
        <f>SUM(C47:C48)</f>
        <v>#REF!</v>
      </c>
      <c r="D49" s="170" t="e">
        <f t="shared" ref="D49:P49" si="9">SUM(D47:D48)</f>
        <v>#REF!</v>
      </c>
      <c r="E49" s="170" t="e">
        <f t="shared" si="9"/>
        <v>#REF!</v>
      </c>
      <c r="F49" s="170" t="e">
        <f t="shared" si="9"/>
        <v>#REF!</v>
      </c>
      <c r="G49" s="170" t="e">
        <f t="shared" si="9"/>
        <v>#REF!</v>
      </c>
      <c r="H49" s="170" t="e">
        <f t="shared" si="9"/>
        <v>#REF!</v>
      </c>
      <c r="I49" s="170" t="e">
        <f t="shared" si="9"/>
        <v>#REF!</v>
      </c>
      <c r="J49" s="170" t="e">
        <f t="shared" si="9"/>
        <v>#REF!</v>
      </c>
      <c r="K49" s="170" t="e">
        <f t="shared" si="9"/>
        <v>#REF!</v>
      </c>
      <c r="L49" s="170" t="e">
        <f t="shared" si="9"/>
        <v>#REF!</v>
      </c>
      <c r="M49" s="170" t="e">
        <f t="shared" si="9"/>
        <v>#REF!</v>
      </c>
      <c r="N49" s="170" t="e">
        <f t="shared" si="9"/>
        <v>#REF!</v>
      </c>
      <c r="O49" s="170" t="e">
        <f t="shared" si="9"/>
        <v>#REF!</v>
      </c>
      <c r="P49" s="170" t="e">
        <f t="shared" si="9"/>
        <v>#REF!</v>
      </c>
      <c r="Q49" s="571">
        <f>Q47+Q48</f>
        <v>-3101835.3789406465</v>
      </c>
      <c r="R49" s="187"/>
      <c r="S49" s="187"/>
      <c r="T49" s="187" t="s">
        <v>426</v>
      </c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  <c r="BK49" s="187"/>
      <c r="BL49" s="187"/>
      <c r="BM49" s="187"/>
      <c r="BN49" s="187"/>
      <c r="BO49" s="187"/>
      <c r="BP49" s="187"/>
      <c r="BQ49" s="187"/>
      <c r="BR49" s="187"/>
      <c r="BS49" s="187"/>
      <c r="BT49" s="187"/>
      <c r="BU49" s="187"/>
      <c r="BV49" s="187"/>
      <c r="BW49" s="187"/>
      <c r="BX49" s="187"/>
      <c r="BY49" s="187"/>
      <c r="BZ49" s="187"/>
      <c r="CA49" s="187"/>
      <c r="CB49" s="187"/>
      <c r="CC49" s="187"/>
      <c r="CD49" s="187"/>
      <c r="CE49" s="187"/>
      <c r="CF49" s="187"/>
      <c r="CG49" s="187"/>
      <c r="CH49" s="187"/>
      <c r="CI49" s="187"/>
      <c r="CJ49" s="187"/>
      <c r="CK49" s="187"/>
      <c r="CL49" s="187"/>
      <c r="CM49" s="187"/>
      <c r="CN49" s="187"/>
      <c r="CO49" s="187"/>
      <c r="CP49" s="187"/>
      <c r="CQ49" s="187"/>
      <c r="CR49" s="187"/>
      <c r="CS49" s="187"/>
      <c r="CT49" s="187"/>
      <c r="CU49" s="187"/>
      <c r="CV49" s="187"/>
      <c r="CW49" s="187"/>
      <c r="CX49" s="187"/>
      <c r="CY49" s="187"/>
      <c r="CZ49" s="187"/>
      <c r="DA49" s="187"/>
      <c r="DB49" s="187"/>
      <c r="DC49" s="187"/>
      <c r="DD49" s="187"/>
      <c r="DE49" s="187"/>
      <c r="DF49" s="187"/>
      <c r="DG49" s="187"/>
      <c r="DH49" s="187"/>
      <c r="DI49" s="187"/>
      <c r="DJ49" s="187"/>
      <c r="DK49" s="187"/>
      <c r="DL49" s="187"/>
      <c r="DM49" s="187"/>
      <c r="DN49" s="187"/>
      <c r="DO49" s="187"/>
      <c r="DP49" s="187"/>
      <c r="DQ49" s="187"/>
      <c r="DR49" s="187"/>
      <c r="DS49" s="187"/>
      <c r="DT49" s="187"/>
      <c r="DU49" s="187"/>
      <c r="DV49" s="187"/>
      <c r="DW49" s="187"/>
      <c r="DX49" s="187"/>
      <c r="DY49" s="187"/>
      <c r="DZ49" s="187"/>
      <c r="EA49" s="187"/>
      <c r="EB49" s="187"/>
      <c r="EC49" s="187"/>
      <c r="ED49" s="187"/>
      <c r="EE49" s="187"/>
      <c r="EF49" s="187"/>
      <c r="EG49" s="187"/>
      <c r="EH49" s="187"/>
      <c r="EI49" s="187"/>
      <c r="EJ49" s="187"/>
      <c r="EK49" s="187"/>
      <c r="EL49" s="187"/>
      <c r="EM49" s="187"/>
      <c r="EN49" s="187"/>
      <c r="EO49" s="187"/>
      <c r="EP49" s="187"/>
      <c r="EQ49" s="187"/>
      <c r="ER49" s="187"/>
      <c r="ES49" s="187"/>
      <c r="ET49" s="187"/>
      <c r="EU49" s="187"/>
      <c r="EV49" s="187"/>
      <c r="EW49" s="187"/>
      <c r="EX49" s="187"/>
      <c r="EY49" s="187"/>
      <c r="EZ49" s="187"/>
      <c r="FA49" s="187"/>
      <c r="FB49" s="187"/>
      <c r="FC49" s="187"/>
      <c r="FD49" s="187"/>
      <c r="FE49" s="187"/>
      <c r="FF49" s="187"/>
      <c r="FG49" s="187"/>
      <c r="FH49" s="187"/>
      <c r="FI49" s="187"/>
      <c r="FJ49" s="187"/>
      <c r="FK49" s="187"/>
      <c r="FL49" s="187"/>
      <c r="FM49" s="187"/>
      <c r="FN49" s="187"/>
      <c r="FO49" s="187"/>
      <c r="FP49" s="187"/>
      <c r="FQ49" s="187"/>
      <c r="FR49" s="187"/>
      <c r="FS49" s="187"/>
      <c r="FT49" s="187"/>
      <c r="FU49" s="187"/>
      <c r="FV49" s="187"/>
      <c r="FW49" s="187"/>
      <c r="FX49" s="187"/>
      <c r="FY49" s="187"/>
      <c r="FZ49" s="187"/>
      <c r="GA49" s="187"/>
      <c r="GB49" s="187"/>
      <c r="GC49" s="187"/>
      <c r="GD49" s="187"/>
      <c r="GE49" s="187"/>
      <c r="GF49" s="187"/>
      <c r="GG49" s="187"/>
      <c r="GH49" s="187"/>
      <c r="GI49" s="187"/>
      <c r="GJ49" s="187"/>
      <c r="GK49" s="187"/>
      <c r="GL49" s="187"/>
      <c r="GM49" s="187"/>
      <c r="GN49" s="187"/>
      <c r="GO49" s="187"/>
      <c r="GP49" s="187"/>
      <c r="GQ49" s="187"/>
      <c r="GR49" s="187"/>
      <c r="GS49" s="187"/>
      <c r="GT49" s="187"/>
      <c r="GU49" s="187"/>
      <c r="GV49" s="187"/>
      <c r="GW49" s="187"/>
      <c r="GX49" s="187"/>
      <c r="GY49" s="187"/>
      <c r="GZ49" s="187"/>
      <c r="HA49" s="187"/>
    </row>
    <row r="50" spans="1:209" s="178" customFormat="1">
      <c r="A50" s="602" t="s">
        <v>172</v>
      </c>
      <c r="B50" s="176" t="s">
        <v>175</v>
      </c>
      <c r="C50" s="160">
        <f>'RECAPTACIÓ HABITATGES'!D31</f>
        <v>48565.568466618701</v>
      </c>
      <c r="D50" s="160">
        <f>'RECAPTACIÓ HABITATGES'!E31</f>
        <v>444375.25546614517</v>
      </c>
      <c r="E50" s="160">
        <f>'RECAPTACIÓ HABITATGES'!F31</f>
        <v>148283.54437381055</v>
      </c>
      <c r="F50" s="160">
        <f>'RECAPTACIÓ HABITATGES'!G31</f>
        <v>40573.581312413793</v>
      </c>
      <c r="G50" s="160">
        <f>'RECAPTACIÓ HABITATGES'!H31</f>
        <v>86378.16735945754</v>
      </c>
      <c r="H50" s="160">
        <f>'RECAPTACIÓ HABITATGES'!I31</f>
        <v>100251.94305426881</v>
      </c>
      <c r="I50" s="160">
        <f>'RECAPTACIÓ HABITATGES'!J31</f>
        <v>196195.97365704924</v>
      </c>
      <c r="J50" s="160">
        <f>'RECAPTACIÓ HABITATGES'!K31</f>
        <v>29815.430159108877</v>
      </c>
      <c r="K50" s="160" t="e">
        <f>'RECAPTACIÓ HABITATGES'!#REF!</f>
        <v>#REF!</v>
      </c>
      <c r="L50" s="160">
        <f>'RECAPTACIÓ HABITATGES'!L31</f>
        <v>288468.0088452769</v>
      </c>
      <c r="M50" s="160">
        <f>'RECAPTACIÓ HABITATGES'!N31</f>
        <v>312781.957581161</v>
      </c>
      <c r="N50" s="160">
        <f>'RECAPTACIÓ HABITATGES'!O31</f>
        <v>43594.111898151517</v>
      </c>
      <c r="O50" s="160">
        <f>'RECAPTACIÓ HABITATGES'!P31</f>
        <v>282421.77523649897</v>
      </c>
      <c r="P50" s="160">
        <f>'RECAPTACIÓ HABITATGES'!Q31</f>
        <v>424963.91688994196</v>
      </c>
      <c r="Q50" s="569">
        <f>'RECAPTACIÓ HABITATGES'!R31</f>
        <v>2462586.3000323032</v>
      </c>
      <c r="R50" s="187"/>
      <c r="S50" s="641">
        <f>(Q50+Q51)/Q54</f>
        <v>0.83036449209215579</v>
      </c>
      <c r="T50" s="584">
        <f>0.02*Q54</f>
        <v>61998.571700646062</v>
      </c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187"/>
      <c r="BN50" s="187"/>
      <c r="BO50" s="187"/>
      <c r="BP50" s="187"/>
      <c r="BQ50" s="187"/>
      <c r="BR50" s="187"/>
      <c r="BS50" s="187"/>
      <c r="BT50" s="187"/>
      <c r="BU50" s="187"/>
      <c r="BV50" s="187"/>
      <c r="BW50" s="187"/>
      <c r="BX50" s="187"/>
      <c r="BY50" s="187"/>
      <c r="BZ50" s="187"/>
      <c r="CA50" s="187"/>
      <c r="CB50" s="187"/>
      <c r="CC50" s="187"/>
      <c r="CD50" s="187"/>
      <c r="CE50" s="187"/>
      <c r="CF50" s="187"/>
      <c r="CG50" s="187"/>
      <c r="CH50" s="187"/>
      <c r="CI50" s="187"/>
      <c r="CJ50" s="187"/>
      <c r="CK50" s="187"/>
      <c r="CL50" s="187"/>
      <c r="CM50" s="187"/>
      <c r="CN50" s="187"/>
      <c r="CO50" s="187"/>
      <c r="CP50" s="187"/>
      <c r="CQ50" s="187"/>
      <c r="CR50" s="187"/>
      <c r="CS50" s="187"/>
      <c r="CT50" s="187"/>
      <c r="CU50" s="187"/>
      <c r="CV50" s="187"/>
      <c r="CW50" s="187"/>
      <c r="CX50" s="187"/>
      <c r="CY50" s="187"/>
      <c r="CZ50" s="187"/>
      <c r="DA50" s="187"/>
      <c r="DB50" s="187"/>
      <c r="DC50" s="187"/>
      <c r="DD50" s="187"/>
      <c r="DE50" s="187"/>
      <c r="DF50" s="187"/>
      <c r="DG50" s="187"/>
      <c r="DH50" s="187"/>
      <c r="DI50" s="187"/>
      <c r="DJ50" s="187"/>
      <c r="DK50" s="187"/>
      <c r="DL50" s="187"/>
      <c r="DM50" s="187"/>
      <c r="DN50" s="187"/>
      <c r="DO50" s="187"/>
      <c r="DP50" s="187"/>
      <c r="DQ50" s="187"/>
      <c r="DR50" s="187"/>
      <c r="DS50" s="187"/>
      <c r="DT50" s="187"/>
      <c r="DU50" s="187"/>
      <c r="DV50" s="187"/>
      <c r="DW50" s="187"/>
      <c r="DX50" s="187"/>
      <c r="DY50" s="187"/>
      <c r="DZ50" s="187"/>
      <c r="EA50" s="187"/>
      <c r="EB50" s="187"/>
      <c r="EC50" s="187"/>
      <c r="ED50" s="187"/>
      <c r="EE50" s="187"/>
      <c r="EF50" s="187"/>
      <c r="EG50" s="187"/>
      <c r="EH50" s="187"/>
      <c r="EI50" s="187"/>
      <c r="EJ50" s="187"/>
      <c r="EK50" s="187"/>
      <c r="EL50" s="187"/>
      <c r="EM50" s="187"/>
      <c r="EN50" s="187"/>
      <c r="EO50" s="187"/>
      <c r="EP50" s="187"/>
      <c r="EQ50" s="187"/>
      <c r="ER50" s="187"/>
      <c r="ES50" s="187"/>
      <c r="ET50" s="187"/>
      <c r="EU50" s="187"/>
      <c r="EV50" s="187"/>
      <c r="EW50" s="187"/>
      <c r="EX50" s="187"/>
      <c r="EY50" s="187"/>
      <c r="EZ50" s="187"/>
      <c r="FA50" s="187"/>
      <c r="FB50" s="187"/>
      <c r="FC50" s="187"/>
      <c r="FD50" s="187"/>
      <c r="FE50" s="187"/>
      <c r="FF50" s="187"/>
      <c r="FG50" s="187"/>
      <c r="FH50" s="187"/>
      <c r="FI50" s="187"/>
      <c r="FJ50" s="187"/>
      <c r="FK50" s="187"/>
      <c r="FL50" s="187"/>
      <c r="FM50" s="187"/>
      <c r="FN50" s="187"/>
      <c r="FO50" s="187"/>
      <c r="FP50" s="187"/>
      <c r="FQ50" s="187"/>
      <c r="FR50" s="187"/>
      <c r="FS50" s="187"/>
      <c r="FT50" s="187"/>
      <c r="FU50" s="187"/>
      <c r="FV50" s="187"/>
      <c r="FW50" s="187"/>
      <c r="FX50" s="187"/>
      <c r="FY50" s="187"/>
      <c r="FZ50" s="187"/>
      <c r="GA50" s="187"/>
      <c r="GB50" s="187"/>
      <c r="GC50" s="187"/>
      <c r="GD50" s="187"/>
      <c r="GE50" s="187"/>
      <c r="GF50" s="187"/>
      <c r="GG50" s="187"/>
      <c r="GH50" s="187"/>
      <c r="GI50" s="187"/>
      <c r="GJ50" s="187"/>
      <c r="GK50" s="187"/>
      <c r="GL50" s="187"/>
      <c r="GM50" s="187"/>
      <c r="GN50" s="187"/>
      <c r="GO50" s="187"/>
      <c r="GP50" s="187"/>
      <c r="GQ50" s="187"/>
      <c r="GR50" s="187"/>
      <c r="GS50" s="187"/>
      <c r="GT50" s="187"/>
      <c r="GU50" s="187"/>
      <c r="GV50" s="187"/>
      <c r="GW50" s="187"/>
      <c r="GX50" s="187"/>
      <c r="GY50" s="187"/>
      <c r="GZ50" s="187"/>
      <c r="HA50" s="187"/>
    </row>
    <row r="51" spans="1:209" s="178" customFormat="1">
      <c r="A51" s="640"/>
      <c r="B51" s="197" t="s">
        <v>176</v>
      </c>
      <c r="C51" s="198"/>
      <c r="D51" s="198"/>
      <c r="E51" s="198"/>
      <c r="F51" s="199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572">
        <f>'RECAPTACIÓ HABITATGES'!D38</f>
        <v>111484.32500000001</v>
      </c>
      <c r="R51" s="187"/>
      <c r="S51" s="641"/>
      <c r="T51" s="584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  <c r="BK51" s="187"/>
      <c r="BL51" s="187"/>
      <c r="BM51" s="187"/>
      <c r="BN51" s="187"/>
      <c r="BO51" s="187"/>
      <c r="BP51" s="187"/>
      <c r="BQ51" s="187"/>
      <c r="BR51" s="187"/>
      <c r="BS51" s="187"/>
      <c r="BT51" s="187"/>
      <c r="BU51" s="187"/>
      <c r="BV51" s="187"/>
      <c r="BW51" s="187"/>
      <c r="BX51" s="187"/>
      <c r="BY51" s="187"/>
      <c r="BZ51" s="187"/>
      <c r="CA51" s="187"/>
      <c r="CB51" s="187"/>
      <c r="CC51" s="187"/>
      <c r="CD51" s="187"/>
      <c r="CE51" s="187"/>
      <c r="CF51" s="187"/>
      <c r="CG51" s="187"/>
      <c r="CH51" s="187"/>
      <c r="CI51" s="187"/>
      <c r="CJ51" s="187"/>
      <c r="CK51" s="187"/>
      <c r="CL51" s="187"/>
      <c r="CM51" s="187"/>
      <c r="CN51" s="187"/>
      <c r="CO51" s="187"/>
      <c r="CP51" s="187"/>
      <c r="CQ51" s="187"/>
      <c r="CR51" s="187"/>
      <c r="CS51" s="187"/>
      <c r="CT51" s="187"/>
      <c r="CU51" s="187"/>
      <c r="CV51" s="187"/>
      <c r="CW51" s="187"/>
      <c r="CX51" s="187"/>
      <c r="CY51" s="187"/>
      <c r="CZ51" s="187"/>
      <c r="DA51" s="187"/>
      <c r="DB51" s="187"/>
      <c r="DC51" s="187"/>
      <c r="DD51" s="187"/>
      <c r="DE51" s="187"/>
      <c r="DF51" s="187"/>
      <c r="DG51" s="187"/>
      <c r="DH51" s="187"/>
      <c r="DI51" s="187"/>
      <c r="DJ51" s="187"/>
      <c r="DK51" s="187"/>
      <c r="DL51" s="187"/>
      <c r="DM51" s="187"/>
      <c r="DN51" s="187"/>
      <c r="DO51" s="187"/>
      <c r="DP51" s="187"/>
      <c r="DQ51" s="187"/>
      <c r="DR51" s="187"/>
      <c r="DS51" s="187"/>
      <c r="DT51" s="187"/>
      <c r="DU51" s="187"/>
      <c r="DV51" s="187"/>
      <c r="DW51" s="187"/>
      <c r="DX51" s="187"/>
      <c r="DY51" s="187"/>
      <c r="DZ51" s="187"/>
      <c r="EA51" s="187"/>
      <c r="EB51" s="187"/>
      <c r="EC51" s="187"/>
      <c r="ED51" s="187"/>
      <c r="EE51" s="187"/>
      <c r="EF51" s="187"/>
      <c r="EG51" s="187"/>
      <c r="EH51" s="187"/>
      <c r="EI51" s="187"/>
      <c r="EJ51" s="187"/>
      <c r="EK51" s="187"/>
      <c r="EL51" s="187"/>
      <c r="EM51" s="187"/>
      <c r="EN51" s="187"/>
      <c r="EO51" s="187"/>
      <c r="EP51" s="187"/>
      <c r="EQ51" s="187"/>
      <c r="ER51" s="187"/>
      <c r="ES51" s="187"/>
      <c r="ET51" s="187"/>
      <c r="EU51" s="187"/>
      <c r="EV51" s="187"/>
      <c r="EW51" s="187"/>
      <c r="EX51" s="187"/>
      <c r="EY51" s="187"/>
      <c r="EZ51" s="187"/>
      <c r="FA51" s="187"/>
      <c r="FB51" s="187"/>
      <c r="FC51" s="187"/>
      <c r="FD51" s="187"/>
      <c r="FE51" s="187"/>
      <c r="FF51" s="187"/>
      <c r="FG51" s="187"/>
      <c r="FH51" s="187"/>
      <c r="FI51" s="187"/>
      <c r="FJ51" s="187"/>
      <c r="FK51" s="187"/>
      <c r="FL51" s="187"/>
      <c r="FM51" s="187"/>
      <c r="FN51" s="187"/>
      <c r="FO51" s="187"/>
      <c r="FP51" s="187"/>
      <c r="FQ51" s="187"/>
      <c r="FR51" s="187"/>
      <c r="FS51" s="187"/>
      <c r="FT51" s="187"/>
      <c r="FU51" s="187"/>
      <c r="FV51" s="187"/>
      <c r="FW51" s="187"/>
      <c r="FX51" s="187"/>
      <c r="FY51" s="187"/>
      <c r="FZ51" s="187"/>
      <c r="GA51" s="187"/>
      <c r="GB51" s="187"/>
      <c r="GC51" s="187"/>
      <c r="GD51" s="187"/>
      <c r="GE51" s="187"/>
      <c r="GF51" s="187"/>
      <c r="GG51" s="187"/>
      <c r="GH51" s="187"/>
      <c r="GI51" s="187"/>
      <c r="GJ51" s="187"/>
      <c r="GK51" s="187"/>
      <c r="GL51" s="187"/>
      <c r="GM51" s="187"/>
      <c r="GN51" s="187"/>
      <c r="GO51" s="187"/>
      <c r="GP51" s="187"/>
      <c r="GQ51" s="187"/>
      <c r="GR51" s="187"/>
      <c r="GS51" s="187"/>
      <c r="GT51" s="187"/>
      <c r="GU51" s="187"/>
      <c r="GV51" s="187"/>
      <c r="GW51" s="187"/>
      <c r="GX51" s="187"/>
      <c r="GY51" s="187"/>
      <c r="GZ51" s="187"/>
      <c r="HA51" s="187"/>
    </row>
    <row r="52" spans="1:209" s="178" customFormat="1">
      <c r="A52" s="640"/>
      <c r="B52" s="197" t="s">
        <v>392</v>
      </c>
      <c r="C52" s="198">
        <f>'RECAPTACIÓ COMERCIAL '!S56</f>
        <v>18966</v>
      </c>
      <c r="D52" s="198">
        <f>SUM('RECAPTACIÓ COMERCIAL '!S57,'RECAPTACIÓ COMERCIAL '!S58)</f>
        <v>57074.2</v>
      </c>
      <c r="E52" s="198">
        <f>'RECAPTACIÓ COMERCIAL '!S59</f>
        <v>14325.2</v>
      </c>
      <c r="F52" s="199">
        <f>'RECAPTACIÓ COMERCIAL '!S60</f>
        <v>18816.400000000001</v>
      </c>
      <c r="G52" s="198">
        <f>'RECAPTACIÓ COMERCIAL '!S61</f>
        <v>7430.8</v>
      </c>
      <c r="H52" s="198">
        <f>'RECAPTACIÓ COMERCIAL '!S62</f>
        <v>8935.7999999999993</v>
      </c>
      <c r="I52" s="198">
        <f>'RECAPTACIÓ COMERCIAL '!S63</f>
        <v>5318</v>
      </c>
      <c r="J52" s="198">
        <f>'RECAPTACIÓ COMERCIAL '!S64</f>
        <v>4255.6000000000004</v>
      </c>
      <c r="K52" s="198">
        <f>'RECAPTACIÓ COMERCIAL '!S65</f>
        <v>16530.400000000001</v>
      </c>
      <c r="L52" s="198">
        <f>'RECAPTACIÓ COMERCIAL '!S66</f>
        <v>31438.399999999998</v>
      </c>
      <c r="M52" s="198">
        <f>'RECAPTACIÓ COMERCIAL '!S67</f>
        <v>75629</v>
      </c>
      <c r="N52" s="198">
        <f>'RECAPTACIÓ COMERCIAL '!S68</f>
        <v>6054.8</v>
      </c>
      <c r="O52" s="198">
        <f>SUM('RECAPTACIÓ COMERCIAL '!S69,'RECAPTACIÓ COMERCIAL '!S70)</f>
        <v>34466.799999999996</v>
      </c>
      <c r="P52" s="198">
        <f>'RECAPTACIÓ COMERCIAL '!S71</f>
        <v>56735.399999999994</v>
      </c>
      <c r="Q52" s="572">
        <f>'RECAPTACIÓ COMERCIAL '!G136</f>
        <v>513222.1999999999</v>
      </c>
      <c r="R52" s="187"/>
      <c r="S52" s="213">
        <f>Q52/Q54</f>
        <v>0.16555936239242489</v>
      </c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87"/>
      <c r="BQ52" s="187"/>
      <c r="BR52" s="187"/>
      <c r="BS52" s="187"/>
      <c r="BT52" s="187"/>
      <c r="BU52" s="187"/>
      <c r="BV52" s="187"/>
      <c r="BW52" s="187"/>
      <c r="BX52" s="187"/>
      <c r="BY52" s="187"/>
      <c r="BZ52" s="187"/>
      <c r="CA52" s="187"/>
      <c r="CB52" s="187"/>
      <c r="CC52" s="187"/>
      <c r="CD52" s="187"/>
      <c r="CE52" s="187"/>
      <c r="CF52" s="187"/>
      <c r="CG52" s="187"/>
      <c r="CH52" s="187"/>
      <c r="CI52" s="187"/>
      <c r="CJ52" s="187"/>
      <c r="CK52" s="187"/>
      <c r="CL52" s="187"/>
      <c r="CM52" s="187"/>
      <c r="CN52" s="187"/>
      <c r="CO52" s="187"/>
      <c r="CP52" s="187"/>
      <c r="CQ52" s="187"/>
      <c r="CR52" s="187"/>
      <c r="CS52" s="187"/>
      <c r="CT52" s="187"/>
      <c r="CU52" s="187"/>
      <c r="CV52" s="187"/>
      <c r="CW52" s="187"/>
      <c r="CX52" s="187"/>
      <c r="CY52" s="187"/>
      <c r="CZ52" s="187"/>
      <c r="DA52" s="187"/>
      <c r="DB52" s="187"/>
      <c r="DC52" s="187"/>
      <c r="DD52" s="187"/>
      <c r="DE52" s="187"/>
      <c r="DF52" s="187"/>
      <c r="DG52" s="187"/>
      <c r="DH52" s="187"/>
      <c r="DI52" s="187"/>
      <c r="DJ52" s="187"/>
      <c r="DK52" s="187"/>
      <c r="DL52" s="187"/>
      <c r="DM52" s="187"/>
      <c r="DN52" s="187"/>
      <c r="DO52" s="187"/>
      <c r="DP52" s="187"/>
      <c r="DQ52" s="187"/>
      <c r="DR52" s="187"/>
      <c r="DS52" s="187"/>
      <c r="DT52" s="187"/>
      <c r="DU52" s="187"/>
      <c r="DV52" s="187"/>
      <c r="DW52" s="187"/>
      <c r="DX52" s="187"/>
      <c r="DY52" s="187"/>
      <c r="DZ52" s="187"/>
      <c r="EA52" s="187"/>
      <c r="EB52" s="187"/>
      <c r="EC52" s="187"/>
      <c r="ED52" s="187"/>
      <c r="EE52" s="187"/>
      <c r="EF52" s="187"/>
      <c r="EG52" s="187"/>
      <c r="EH52" s="187"/>
      <c r="EI52" s="187"/>
      <c r="EJ52" s="187"/>
      <c r="EK52" s="187"/>
      <c r="EL52" s="187"/>
      <c r="EM52" s="187"/>
      <c r="EN52" s="187"/>
      <c r="EO52" s="187"/>
      <c r="EP52" s="187"/>
      <c r="EQ52" s="187"/>
      <c r="ER52" s="187"/>
      <c r="ES52" s="187"/>
      <c r="ET52" s="187"/>
      <c r="EU52" s="187"/>
      <c r="EV52" s="187"/>
      <c r="EW52" s="187"/>
      <c r="EX52" s="187"/>
      <c r="EY52" s="187"/>
      <c r="EZ52" s="187"/>
      <c r="FA52" s="187"/>
      <c r="FB52" s="187"/>
      <c r="FC52" s="187"/>
      <c r="FD52" s="187"/>
      <c r="FE52" s="187"/>
      <c r="FF52" s="187"/>
      <c r="FG52" s="187"/>
      <c r="FH52" s="187"/>
      <c r="FI52" s="187"/>
      <c r="FJ52" s="187"/>
      <c r="FK52" s="187"/>
      <c r="FL52" s="187"/>
      <c r="FM52" s="187"/>
      <c r="FN52" s="187"/>
      <c r="FO52" s="187"/>
      <c r="FP52" s="187"/>
      <c r="FQ52" s="187"/>
      <c r="FR52" s="187"/>
      <c r="FS52" s="187"/>
      <c r="FT52" s="187"/>
      <c r="FU52" s="187"/>
      <c r="FV52" s="187"/>
      <c r="FW52" s="187"/>
      <c r="FX52" s="187"/>
      <c r="FY52" s="187"/>
      <c r="FZ52" s="187"/>
      <c r="GA52" s="187"/>
      <c r="GB52" s="187"/>
      <c r="GC52" s="187"/>
      <c r="GD52" s="187"/>
      <c r="GE52" s="187"/>
      <c r="GF52" s="187"/>
      <c r="GG52" s="187"/>
      <c r="GH52" s="187"/>
      <c r="GI52" s="187"/>
      <c r="GJ52" s="187"/>
      <c r="GK52" s="187"/>
      <c r="GL52" s="187"/>
      <c r="GM52" s="187"/>
      <c r="GN52" s="187"/>
      <c r="GO52" s="187"/>
      <c r="GP52" s="187"/>
      <c r="GQ52" s="187"/>
      <c r="GR52" s="187"/>
      <c r="GS52" s="187"/>
      <c r="GT52" s="187"/>
      <c r="GU52" s="187"/>
      <c r="GV52" s="187"/>
      <c r="GW52" s="187"/>
      <c r="GX52" s="187"/>
      <c r="GY52" s="187"/>
      <c r="GZ52" s="187"/>
      <c r="HA52" s="187"/>
    </row>
    <row r="53" spans="1:209" s="178" customFormat="1">
      <c r="A53" s="640"/>
      <c r="B53" s="197" t="s">
        <v>393</v>
      </c>
      <c r="C53" s="198"/>
      <c r="D53" s="198"/>
      <c r="E53" s="198"/>
      <c r="F53" s="199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572">
        <f>'RECAPTACIÓ COMERCIAL '!B113</f>
        <v>12635.76</v>
      </c>
      <c r="R53" s="187"/>
      <c r="S53" s="213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7"/>
      <c r="BQ53" s="187"/>
      <c r="BR53" s="187"/>
      <c r="BS53" s="187"/>
      <c r="BT53" s="187"/>
      <c r="BU53" s="187"/>
      <c r="BV53" s="187"/>
      <c r="BW53" s="187"/>
      <c r="BX53" s="187"/>
      <c r="BY53" s="187"/>
      <c r="BZ53" s="187"/>
      <c r="CA53" s="187"/>
      <c r="CB53" s="187"/>
      <c r="CC53" s="187"/>
      <c r="CD53" s="187"/>
      <c r="CE53" s="187"/>
      <c r="CF53" s="187"/>
      <c r="CG53" s="187"/>
      <c r="CH53" s="187"/>
      <c r="CI53" s="187"/>
      <c r="CJ53" s="187"/>
      <c r="CK53" s="187"/>
      <c r="CL53" s="187"/>
      <c r="CM53" s="187"/>
      <c r="CN53" s="187"/>
      <c r="CO53" s="187"/>
      <c r="CP53" s="187"/>
      <c r="CQ53" s="187"/>
      <c r="CR53" s="187"/>
      <c r="CS53" s="187"/>
      <c r="CT53" s="187"/>
      <c r="CU53" s="187"/>
      <c r="CV53" s="187"/>
      <c r="CW53" s="187"/>
      <c r="CX53" s="187"/>
      <c r="CY53" s="187"/>
      <c r="CZ53" s="187"/>
      <c r="DA53" s="187"/>
      <c r="DB53" s="187"/>
      <c r="DC53" s="187"/>
      <c r="DD53" s="187"/>
      <c r="DE53" s="187"/>
      <c r="DF53" s="187"/>
      <c r="DG53" s="187"/>
      <c r="DH53" s="187"/>
      <c r="DI53" s="187"/>
      <c r="DJ53" s="187"/>
      <c r="DK53" s="187"/>
      <c r="DL53" s="187"/>
      <c r="DM53" s="187"/>
      <c r="DN53" s="187"/>
      <c r="DO53" s="187"/>
      <c r="DP53" s="187"/>
      <c r="DQ53" s="187"/>
      <c r="DR53" s="187"/>
      <c r="DS53" s="187"/>
      <c r="DT53" s="187"/>
      <c r="DU53" s="187"/>
      <c r="DV53" s="187"/>
      <c r="DW53" s="187"/>
      <c r="DX53" s="187"/>
      <c r="DY53" s="187"/>
      <c r="DZ53" s="187"/>
      <c r="EA53" s="187"/>
      <c r="EB53" s="187"/>
      <c r="EC53" s="187"/>
      <c r="ED53" s="187"/>
      <c r="EE53" s="187"/>
      <c r="EF53" s="187"/>
      <c r="EG53" s="187"/>
      <c r="EH53" s="187"/>
      <c r="EI53" s="187"/>
      <c r="EJ53" s="187"/>
      <c r="EK53" s="187"/>
      <c r="EL53" s="187"/>
      <c r="EM53" s="187"/>
      <c r="EN53" s="187"/>
      <c r="EO53" s="187"/>
      <c r="EP53" s="187"/>
      <c r="EQ53" s="187"/>
      <c r="ER53" s="187"/>
      <c r="ES53" s="187"/>
      <c r="ET53" s="187"/>
      <c r="EU53" s="187"/>
      <c r="EV53" s="187"/>
      <c r="EW53" s="187"/>
      <c r="EX53" s="187"/>
      <c r="EY53" s="187"/>
      <c r="EZ53" s="187"/>
      <c r="FA53" s="187"/>
      <c r="FB53" s="187"/>
      <c r="FC53" s="187"/>
      <c r="FD53" s="187"/>
      <c r="FE53" s="187"/>
      <c r="FF53" s="187"/>
      <c r="FG53" s="187"/>
      <c r="FH53" s="187"/>
      <c r="FI53" s="187"/>
      <c r="FJ53" s="187"/>
      <c r="FK53" s="187"/>
      <c r="FL53" s="187"/>
      <c r="FM53" s="187"/>
      <c r="FN53" s="187"/>
      <c r="FO53" s="187"/>
      <c r="FP53" s="187"/>
      <c r="FQ53" s="187"/>
      <c r="FR53" s="187"/>
      <c r="FS53" s="187"/>
      <c r="FT53" s="187"/>
      <c r="FU53" s="187"/>
      <c r="FV53" s="187"/>
      <c r="FW53" s="187"/>
      <c r="FX53" s="187"/>
      <c r="FY53" s="187"/>
      <c r="FZ53" s="187"/>
      <c r="GA53" s="187"/>
      <c r="GB53" s="187"/>
      <c r="GC53" s="187"/>
      <c r="GD53" s="187"/>
      <c r="GE53" s="187"/>
      <c r="GF53" s="187"/>
      <c r="GG53" s="187"/>
      <c r="GH53" s="187"/>
      <c r="GI53" s="187"/>
      <c r="GJ53" s="187"/>
      <c r="GK53" s="187"/>
      <c r="GL53" s="187"/>
      <c r="GM53" s="187"/>
      <c r="GN53" s="187"/>
      <c r="GO53" s="187"/>
      <c r="GP53" s="187"/>
      <c r="GQ53" s="187"/>
      <c r="GR53" s="187"/>
      <c r="GS53" s="187"/>
      <c r="GT53" s="187"/>
      <c r="GU53" s="187"/>
      <c r="GV53" s="187"/>
      <c r="GW53" s="187"/>
      <c r="GX53" s="187"/>
      <c r="GY53" s="187"/>
      <c r="GZ53" s="187"/>
      <c r="HA53" s="187"/>
    </row>
    <row r="54" spans="1:209" s="178" customFormat="1" ht="13">
      <c r="A54" s="603"/>
      <c r="B54" s="186" t="s">
        <v>174</v>
      </c>
      <c r="C54" s="180">
        <f t="shared" ref="C54:P54" si="10">SUM(C50:C52)</f>
        <v>67531.568466618701</v>
      </c>
      <c r="D54" s="180">
        <f t="shared" si="10"/>
        <v>501449.45546614518</v>
      </c>
      <c r="E54" s="180">
        <f t="shared" si="10"/>
        <v>162608.74437381056</v>
      </c>
      <c r="F54" s="180">
        <f t="shared" si="10"/>
        <v>59389.981312413795</v>
      </c>
      <c r="G54" s="180">
        <f t="shared" si="10"/>
        <v>93808.967359457543</v>
      </c>
      <c r="H54" s="180">
        <f t="shared" si="10"/>
        <v>109187.74305426881</v>
      </c>
      <c r="I54" s="180">
        <f t="shared" si="10"/>
        <v>201513.97365704924</v>
      </c>
      <c r="J54" s="180">
        <f t="shared" si="10"/>
        <v>34071.030159108879</v>
      </c>
      <c r="K54" s="180" t="e">
        <f t="shared" si="10"/>
        <v>#REF!</v>
      </c>
      <c r="L54" s="180">
        <f t="shared" si="10"/>
        <v>319906.40884527692</v>
      </c>
      <c r="M54" s="180">
        <f t="shared" si="10"/>
        <v>388410.957581161</v>
      </c>
      <c r="N54" s="180">
        <f t="shared" si="10"/>
        <v>49648.91189815152</v>
      </c>
      <c r="O54" s="180">
        <f t="shared" si="10"/>
        <v>316888.57523649896</v>
      </c>
      <c r="P54" s="180">
        <f t="shared" si="10"/>
        <v>481699.31688994193</v>
      </c>
      <c r="Q54" s="573">
        <f>SUM(Q50:Q53)</f>
        <v>3099928.5850323029</v>
      </c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  <c r="AK54" s="187"/>
      <c r="AL54" s="187"/>
      <c r="AM54" s="187"/>
      <c r="AN54" s="187"/>
      <c r="AO54" s="187"/>
      <c r="AP54" s="187"/>
      <c r="AQ54" s="187"/>
      <c r="AR54" s="187"/>
      <c r="AS54" s="187"/>
      <c r="AT54" s="187"/>
      <c r="AU54" s="187"/>
      <c r="AV54" s="187"/>
      <c r="AW54" s="187"/>
      <c r="AX54" s="187"/>
      <c r="AY54" s="187"/>
      <c r="AZ54" s="187"/>
      <c r="BA54" s="187"/>
      <c r="BB54" s="187"/>
      <c r="BC54" s="187"/>
      <c r="BD54" s="187"/>
      <c r="BE54" s="187"/>
      <c r="BF54" s="187"/>
      <c r="BG54" s="187"/>
      <c r="BH54" s="187"/>
      <c r="BI54" s="187"/>
      <c r="BJ54" s="187"/>
      <c r="BK54" s="187"/>
      <c r="BL54" s="187"/>
      <c r="BM54" s="187"/>
      <c r="BN54" s="187"/>
      <c r="BO54" s="187"/>
      <c r="BP54" s="187"/>
      <c r="BQ54" s="187"/>
      <c r="BR54" s="187"/>
      <c r="BS54" s="187"/>
      <c r="BT54" s="187"/>
      <c r="BU54" s="187"/>
      <c r="BV54" s="187"/>
      <c r="BW54" s="187"/>
      <c r="BX54" s="187"/>
      <c r="BY54" s="187"/>
      <c r="BZ54" s="187"/>
      <c r="CA54" s="187"/>
      <c r="CB54" s="187"/>
      <c r="CC54" s="187"/>
      <c r="CD54" s="187"/>
      <c r="CE54" s="187"/>
      <c r="CF54" s="187"/>
      <c r="CG54" s="187"/>
      <c r="CH54" s="187"/>
      <c r="CI54" s="187"/>
      <c r="CJ54" s="187"/>
      <c r="CK54" s="187"/>
      <c r="CL54" s="187"/>
      <c r="CM54" s="187"/>
      <c r="CN54" s="187"/>
      <c r="CO54" s="187"/>
      <c r="CP54" s="187"/>
      <c r="CQ54" s="187"/>
      <c r="CR54" s="187"/>
      <c r="CS54" s="187"/>
      <c r="CT54" s="187"/>
      <c r="CU54" s="187"/>
      <c r="CV54" s="187"/>
      <c r="CW54" s="187"/>
      <c r="CX54" s="187"/>
      <c r="CY54" s="187"/>
      <c r="CZ54" s="187"/>
      <c r="DA54" s="187"/>
      <c r="DB54" s="187"/>
      <c r="DC54" s="187"/>
      <c r="DD54" s="187"/>
      <c r="DE54" s="187"/>
      <c r="DF54" s="187"/>
      <c r="DG54" s="187"/>
      <c r="DH54" s="187"/>
      <c r="DI54" s="187"/>
      <c r="DJ54" s="187"/>
      <c r="DK54" s="187"/>
      <c r="DL54" s="187"/>
      <c r="DM54" s="187"/>
      <c r="DN54" s="187"/>
      <c r="DO54" s="187"/>
      <c r="DP54" s="187"/>
      <c r="DQ54" s="187"/>
      <c r="DR54" s="187"/>
      <c r="DS54" s="187"/>
      <c r="DT54" s="187"/>
      <c r="DU54" s="187"/>
      <c r="DV54" s="187"/>
      <c r="DW54" s="187"/>
      <c r="DX54" s="187"/>
      <c r="DY54" s="187"/>
      <c r="DZ54" s="187"/>
      <c r="EA54" s="187"/>
      <c r="EB54" s="187"/>
      <c r="EC54" s="187"/>
      <c r="ED54" s="187"/>
      <c r="EE54" s="187"/>
      <c r="EF54" s="187"/>
      <c r="EG54" s="187"/>
      <c r="EH54" s="187"/>
      <c r="EI54" s="187"/>
      <c r="EJ54" s="187"/>
      <c r="EK54" s="187"/>
      <c r="EL54" s="187"/>
      <c r="EM54" s="187"/>
      <c r="EN54" s="187"/>
      <c r="EO54" s="187"/>
      <c r="EP54" s="187"/>
      <c r="EQ54" s="187"/>
      <c r="ER54" s="187"/>
      <c r="ES54" s="187"/>
      <c r="ET54" s="187"/>
      <c r="EU54" s="187"/>
      <c r="EV54" s="187"/>
      <c r="EW54" s="187"/>
      <c r="EX54" s="187"/>
      <c r="EY54" s="187"/>
      <c r="EZ54" s="187"/>
      <c r="FA54" s="187"/>
      <c r="FB54" s="187"/>
      <c r="FC54" s="187"/>
      <c r="FD54" s="187"/>
      <c r="FE54" s="187"/>
      <c r="FF54" s="187"/>
      <c r="FG54" s="187"/>
      <c r="FH54" s="187"/>
      <c r="FI54" s="187"/>
      <c r="FJ54" s="187"/>
      <c r="FK54" s="187"/>
      <c r="FL54" s="187"/>
      <c r="FM54" s="187"/>
      <c r="FN54" s="187"/>
      <c r="FO54" s="187"/>
      <c r="FP54" s="187"/>
      <c r="FQ54" s="187"/>
      <c r="FR54" s="187"/>
      <c r="FS54" s="187"/>
      <c r="FT54" s="187"/>
      <c r="FU54" s="187"/>
      <c r="FV54" s="187"/>
      <c r="FW54" s="187"/>
      <c r="FX54" s="187"/>
      <c r="FY54" s="187"/>
      <c r="FZ54" s="187"/>
      <c r="GA54" s="187"/>
      <c r="GB54" s="187"/>
      <c r="GC54" s="187"/>
      <c r="GD54" s="187"/>
      <c r="GE54" s="187"/>
      <c r="GF54" s="187"/>
      <c r="GG54" s="187"/>
      <c r="GH54" s="187"/>
      <c r="GI54" s="187"/>
      <c r="GJ54" s="187"/>
      <c r="GK54" s="187"/>
      <c r="GL54" s="187"/>
      <c r="GM54" s="187"/>
      <c r="GN54" s="187"/>
      <c r="GO54" s="187"/>
      <c r="GP54" s="187"/>
      <c r="GQ54" s="187"/>
      <c r="GR54" s="187"/>
      <c r="GS54" s="187"/>
      <c r="GT54" s="187"/>
      <c r="GU54" s="187"/>
      <c r="GV54" s="187"/>
      <c r="GW54" s="187"/>
      <c r="GX54" s="187"/>
      <c r="GY54" s="187"/>
      <c r="GZ54" s="187"/>
      <c r="HA54" s="187"/>
    </row>
    <row r="55" spans="1:209" s="162" customFormat="1" ht="12.75" customHeight="1">
      <c r="A55" s="181" t="s">
        <v>14</v>
      </c>
      <c r="B55" s="182" t="s">
        <v>177</v>
      </c>
      <c r="C55" s="574" t="e">
        <f t="shared" ref="C55:Q55" si="11">C49+C54</f>
        <v>#REF!</v>
      </c>
      <c r="D55" s="574" t="e">
        <f t="shared" si="11"/>
        <v>#REF!</v>
      </c>
      <c r="E55" s="574" t="e">
        <f t="shared" si="11"/>
        <v>#REF!</v>
      </c>
      <c r="F55" s="574" t="e">
        <f t="shared" si="11"/>
        <v>#REF!</v>
      </c>
      <c r="G55" s="574" t="e">
        <f t="shared" si="11"/>
        <v>#REF!</v>
      </c>
      <c r="H55" s="574" t="e">
        <f t="shared" si="11"/>
        <v>#REF!</v>
      </c>
      <c r="I55" s="574" t="e">
        <f t="shared" si="11"/>
        <v>#REF!</v>
      </c>
      <c r="J55" s="574" t="e">
        <f t="shared" si="11"/>
        <v>#REF!</v>
      </c>
      <c r="K55" s="574" t="e">
        <f t="shared" si="11"/>
        <v>#REF!</v>
      </c>
      <c r="L55" s="574" t="e">
        <f t="shared" si="11"/>
        <v>#REF!</v>
      </c>
      <c r="M55" s="574" t="e">
        <f t="shared" si="11"/>
        <v>#REF!</v>
      </c>
      <c r="N55" s="574" t="e">
        <f t="shared" si="11"/>
        <v>#REF!</v>
      </c>
      <c r="O55" s="574" t="e">
        <f t="shared" si="11"/>
        <v>#REF!</v>
      </c>
      <c r="P55" s="574" t="e">
        <f t="shared" si="11"/>
        <v>#REF!</v>
      </c>
      <c r="Q55" s="574">
        <f t="shared" si="11"/>
        <v>-1906.7939083436504</v>
      </c>
      <c r="R55" s="188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187"/>
      <c r="AT55" s="187"/>
      <c r="AU55" s="187"/>
      <c r="AV55" s="187"/>
      <c r="AW55" s="187"/>
      <c r="AX55" s="187"/>
      <c r="AY55" s="187"/>
      <c r="AZ55" s="187"/>
      <c r="BA55" s="187"/>
      <c r="BB55" s="187"/>
      <c r="BC55" s="187"/>
      <c r="BD55" s="187"/>
      <c r="BE55" s="187"/>
      <c r="BF55" s="187"/>
      <c r="BG55" s="187"/>
      <c r="BH55" s="187"/>
      <c r="BI55" s="187"/>
      <c r="BJ55" s="187"/>
      <c r="BK55" s="187"/>
      <c r="BL55" s="187"/>
      <c r="BM55" s="187"/>
      <c r="BN55" s="187"/>
      <c r="BO55" s="187"/>
      <c r="BP55" s="187"/>
      <c r="BQ55" s="187"/>
      <c r="BR55" s="187"/>
      <c r="BS55" s="187"/>
      <c r="BT55" s="187"/>
      <c r="BU55" s="187"/>
      <c r="BV55" s="187"/>
      <c r="BW55" s="187"/>
      <c r="BX55" s="187"/>
      <c r="BY55" s="187"/>
      <c r="BZ55" s="187"/>
      <c r="CA55" s="187"/>
      <c r="CB55" s="187"/>
      <c r="CC55" s="187"/>
      <c r="CD55" s="187"/>
      <c r="CE55" s="187"/>
      <c r="CF55" s="187"/>
      <c r="CG55" s="187"/>
      <c r="CH55" s="187"/>
      <c r="CI55" s="187"/>
      <c r="CJ55" s="187"/>
      <c r="CK55" s="187"/>
      <c r="CL55" s="187"/>
      <c r="CM55" s="187"/>
      <c r="CN55" s="187"/>
      <c r="CO55" s="187"/>
      <c r="CP55" s="187"/>
      <c r="CQ55" s="187"/>
      <c r="CR55" s="187"/>
      <c r="CS55" s="187"/>
      <c r="CT55" s="187"/>
      <c r="CU55" s="187"/>
      <c r="CV55" s="187"/>
      <c r="CW55" s="187"/>
      <c r="CX55" s="187"/>
      <c r="CY55" s="187"/>
      <c r="CZ55" s="187"/>
      <c r="DA55" s="187"/>
      <c r="DB55" s="187"/>
      <c r="DC55" s="187"/>
      <c r="DD55" s="187"/>
      <c r="DE55" s="187"/>
      <c r="DF55" s="187"/>
      <c r="DG55" s="187"/>
      <c r="DH55" s="187"/>
      <c r="DI55" s="187"/>
      <c r="DJ55" s="187"/>
      <c r="DK55" s="187"/>
      <c r="DL55" s="187"/>
      <c r="DM55" s="187"/>
      <c r="DN55" s="187"/>
      <c r="DO55" s="187"/>
      <c r="DP55" s="187"/>
      <c r="DQ55" s="187"/>
      <c r="DR55" s="187"/>
      <c r="DS55" s="187"/>
      <c r="DT55" s="187"/>
      <c r="DU55" s="187"/>
      <c r="DV55" s="187"/>
      <c r="DW55" s="187"/>
      <c r="DX55" s="187"/>
      <c r="DY55" s="187"/>
      <c r="DZ55" s="187"/>
      <c r="EA55" s="187"/>
      <c r="EB55" s="187"/>
      <c r="EC55" s="187"/>
      <c r="ED55" s="187"/>
      <c r="EE55" s="187"/>
      <c r="EF55" s="187"/>
      <c r="EG55" s="187"/>
      <c r="EH55" s="187"/>
      <c r="EI55" s="187"/>
      <c r="EJ55" s="187"/>
      <c r="EK55" s="187"/>
      <c r="EL55" s="187"/>
      <c r="EM55" s="187"/>
      <c r="EN55" s="187"/>
      <c r="EO55" s="187"/>
      <c r="EP55" s="187"/>
      <c r="EQ55" s="187"/>
      <c r="ER55" s="187"/>
      <c r="ES55" s="187"/>
      <c r="ET55" s="187"/>
      <c r="EU55" s="187"/>
      <c r="EV55" s="187"/>
      <c r="EW55" s="187"/>
      <c r="EX55" s="187"/>
      <c r="EY55" s="187"/>
      <c r="EZ55" s="187"/>
      <c r="FA55" s="187"/>
      <c r="FB55" s="187"/>
      <c r="FC55" s="187"/>
      <c r="FD55" s="187"/>
      <c r="FE55" s="187"/>
      <c r="FF55" s="187"/>
      <c r="FG55" s="187"/>
      <c r="FH55" s="187"/>
      <c r="FI55" s="187"/>
      <c r="FJ55" s="187"/>
      <c r="FK55" s="187"/>
      <c r="FL55" s="187"/>
      <c r="FM55" s="187"/>
      <c r="FN55" s="187"/>
      <c r="FO55" s="187"/>
      <c r="FP55" s="187"/>
      <c r="FQ55" s="187"/>
      <c r="FR55" s="187"/>
      <c r="FS55" s="187"/>
      <c r="FT55" s="187"/>
      <c r="FU55" s="187"/>
      <c r="FV55" s="187"/>
      <c r="FW55" s="187"/>
      <c r="FX55" s="187"/>
      <c r="FY55" s="187"/>
      <c r="FZ55" s="187"/>
      <c r="GA55" s="187"/>
      <c r="GB55" s="187"/>
      <c r="GC55" s="187"/>
      <c r="GD55" s="187"/>
      <c r="GE55" s="187"/>
      <c r="GF55" s="187"/>
      <c r="GG55" s="187"/>
      <c r="GH55" s="187"/>
      <c r="GI55" s="187"/>
      <c r="GJ55" s="187"/>
      <c r="GK55" s="187"/>
      <c r="GL55" s="187"/>
      <c r="GM55" s="187"/>
      <c r="GN55" s="187"/>
      <c r="GO55" s="187"/>
      <c r="GP55" s="187"/>
      <c r="GQ55" s="187"/>
      <c r="GR55" s="187"/>
      <c r="GS55" s="187"/>
      <c r="GT55" s="187"/>
      <c r="GU55" s="187"/>
      <c r="GV55" s="187"/>
      <c r="GW55" s="187"/>
      <c r="GX55" s="187"/>
      <c r="GY55" s="187"/>
      <c r="GZ55" s="187"/>
      <c r="HA55" s="187"/>
    </row>
    <row r="56" spans="1:209" ht="12.75" customHeight="1">
      <c r="A56" s="493"/>
      <c r="B56" s="86"/>
      <c r="C56" s="89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156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  <c r="BA56" s="157"/>
      <c r="BB56" s="157"/>
      <c r="BC56" s="157"/>
      <c r="BD56" s="157"/>
      <c r="BE56" s="157"/>
      <c r="BF56" s="157"/>
      <c r="BG56" s="157"/>
      <c r="BH56" s="157"/>
      <c r="BI56" s="157"/>
      <c r="BJ56" s="157"/>
      <c r="BK56" s="157"/>
      <c r="BL56" s="157"/>
      <c r="BM56" s="157"/>
      <c r="BN56" s="157"/>
      <c r="BO56" s="157"/>
      <c r="BP56" s="157"/>
      <c r="BQ56" s="157"/>
      <c r="BR56" s="157"/>
      <c r="BS56" s="157"/>
      <c r="BT56" s="157"/>
      <c r="BU56" s="157"/>
      <c r="BV56" s="157"/>
      <c r="BW56" s="157"/>
      <c r="BX56" s="157"/>
      <c r="BY56" s="157"/>
      <c r="BZ56" s="157"/>
      <c r="CA56" s="157"/>
      <c r="CB56" s="157"/>
      <c r="CC56" s="157"/>
      <c r="CD56" s="157"/>
      <c r="CE56" s="157"/>
      <c r="CF56" s="157"/>
      <c r="CG56" s="157"/>
      <c r="CH56" s="157"/>
      <c r="CI56" s="157"/>
      <c r="CJ56" s="157"/>
      <c r="CK56" s="157"/>
      <c r="CL56" s="157"/>
      <c r="CM56" s="157"/>
      <c r="CN56" s="157"/>
      <c r="CO56" s="157"/>
      <c r="CP56" s="157"/>
      <c r="CQ56" s="157"/>
      <c r="CR56" s="157"/>
      <c r="CS56" s="157"/>
      <c r="CT56" s="157"/>
      <c r="CU56" s="157"/>
      <c r="CV56" s="157"/>
      <c r="CW56" s="157"/>
      <c r="CX56" s="157"/>
      <c r="CY56" s="157"/>
      <c r="CZ56" s="157"/>
      <c r="DA56" s="157"/>
      <c r="DB56" s="157"/>
      <c r="DC56" s="157"/>
      <c r="DD56" s="157"/>
      <c r="DE56" s="157"/>
      <c r="DF56" s="157"/>
      <c r="DG56" s="157"/>
      <c r="DH56" s="157"/>
      <c r="DI56" s="157"/>
      <c r="DJ56" s="157"/>
      <c r="DK56" s="157"/>
      <c r="DL56" s="157"/>
      <c r="DM56" s="157"/>
      <c r="DN56" s="157"/>
      <c r="DO56" s="157"/>
      <c r="DP56" s="157"/>
      <c r="DQ56" s="157"/>
      <c r="DR56" s="157"/>
      <c r="DS56" s="157"/>
      <c r="DT56" s="157"/>
      <c r="DU56" s="157"/>
      <c r="DV56" s="157"/>
      <c r="DW56" s="157"/>
      <c r="DX56" s="157"/>
      <c r="DY56" s="157"/>
      <c r="DZ56" s="157"/>
      <c r="EA56" s="157"/>
      <c r="EB56" s="157"/>
      <c r="EC56" s="157"/>
      <c r="ED56" s="157"/>
      <c r="EE56" s="157"/>
      <c r="EF56" s="157"/>
      <c r="EG56" s="157"/>
      <c r="EH56" s="157"/>
      <c r="EI56" s="157"/>
      <c r="EJ56" s="157"/>
      <c r="EK56" s="157"/>
      <c r="EL56" s="157"/>
      <c r="EM56" s="157"/>
      <c r="EN56" s="157"/>
      <c r="EO56" s="157"/>
      <c r="EP56" s="157"/>
      <c r="EQ56" s="157"/>
      <c r="ER56" s="157"/>
      <c r="ES56" s="157"/>
      <c r="ET56" s="157"/>
      <c r="EU56" s="157"/>
      <c r="EV56" s="157"/>
      <c r="EW56" s="157"/>
      <c r="EX56" s="157"/>
      <c r="EY56" s="157"/>
      <c r="EZ56" s="157"/>
      <c r="FA56" s="157"/>
      <c r="FB56" s="157"/>
      <c r="FC56" s="157"/>
      <c r="FD56" s="157"/>
      <c r="FE56" s="157"/>
      <c r="FF56" s="157"/>
      <c r="FG56" s="157"/>
      <c r="FH56" s="157"/>
      <c r="FI56" s="157"/>
      <c r="FJ56" s="157"/>
      <c r="FK56" s="157"/>
      <c r="FL56" s="157"/>
      <c r="FM56" s="157"/>
      <c r="FN56" s="157"/>
      <c r="FO56" s="157"/>
      <c r="FP56" s="157"/>
      <c r="FQ56" s="157"/>
      <c r="FR56" s="157"/>
      <c r="FS56" s="157"/>
      <c r="FT56" s="157"/>
      <c r="FU56" s="157"/>
      <c r="FV56" s="157"/>
      <c r="FW56" s="157"/>
      <c r="FX56" s="157"/>
      <c r="FY56" s="157"/>
      <c r="FZ56" s="157"/>
      <c r="GA56" s="157"/>
      <c r="GB56" s="157"/>
      <c r="GC56" s="157"/>
      <c r="GD56" s="157"/>
      <c r="GE56" s="157"/>
      <c r="GF56" s="157"/>
      <c r="GG56" s="157"/>
      <c r="GH56" s="157"/>
      <c r="GI56" s="157"/>
      <c r="GJ56" s="157"/>
      <c r="GK56" s="157"/>
      <c r="GL56" s="157"/>
      <c r="GM56" s="157"/>
      <c r="GN56" s="157"/>
      <c r="GO56" s="157"/>
      <c r="GP56" s="157"/>
      <c r="GQ56" s="157"/>
      <c r="GR56" s="157"/>
      <c r="GS56" s="157"/>
      <c r="GT56" s="157"/>
      <c r="GU56" s="157"/>
      <c r="GV56" s="157"/>
      <c r="GW56" s="157"/>
      <c r="GX56" s="157"/>
      <c r="GY56" s="157"/>
      <c r="GZ56" s="157"/>
      <c r="HA56" s="157"/>
    </row>
    <row r="58" spans="1:209">
      <c r="Q58" s="20"/>
    </row>
    <row r="63" spans="1:209">
      <c r="S63" s="61"/>
    </row>
  </sheetData>
  <mergeCells count="12">
    <mergeCell ref="A46:B46"/>
    <mergeCell ref="A47:A49"/>
    <mergeCell ref="A50:A54"/>
    <mergeCell ref="S50:S51"/>
    <mergeCell ref="D1:G1"/>
    <mergeCell ref="I2:L2"/>
    <mergeCell ref="S2:T2"/>
    <mergeCell ref="H25:I25"/>
    <mergeCell ref="J25:K25"/>
    <mergeCell ref="M25:N25"/>
    <mergeCell ref="G26:I26"/>
    <mergeCell ref="C45:E45"/>
  </mergeCells>
  <conditionalFormatting sqref="Q5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C55:P5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3:K60"/>
  <sheetViews>
    <sheetView zoomScale="90" zoomScaleNormal="90" workbookViewId="0">
      <selection activeCell="C78" sqref="C78"/>
    </sheetView>
  </sheetViews>
  <sheetFormatPr baseColWidth="10" defaultRowHeight="12.5"/>
  <cols>
    <col min="1" max="1" width="48.453125" customWidth="1"/>
    <col min="2" max="2" width="22.1796875" customWidth="1"/>
    <col min="3" max="4" width="20.453125" customWidth="1"/>
    <col min="5" max="9" width="21.453125" customWidth="1"/>
  </cols>
  <sheetData>
    <row r="3" spans="1:11">
      <c r="A3" t="s">
        <v>311</v>
      </c>
    </row>
    <row r="5" spans="1:11" s="281" customFormat="1" ht="13">
      <c r="A5" s="281" t="s">
        <v>312</v>
      </c>
      <c r="B5" s="281" t="s">
        <v>318</v>
      </c>
      <c r="C5" s="281" t="s">
        <v>317</v>
      </c>
      <c r="D5" s="281" t="s">
        <v>351</v>
      </c>
      <c r="E5" s="281" t="s">
        <v>313</v>
      </c>
      <c r="F5" s="281" t="s">
        <v>314</v>
      </c>
      <c r="G5" s="281" t="s">
        <v>419</v>
      </c>
      <c r="H5" s="281" t="s">
        <v>315</v>
      </c>
      <c r="I5" s="281" t="s">
        <v>315</v>
      </c>
    </row>
    <row r="6" spans="1:11" s="162" customFormat="1" hidden="1">
      <c r="A6" s="266" t="s">
        <v>322</v>
      </c>
      <c r="B6" s="266" t="s">
        <v>4</v>
      </c>
      <c r="C6" s="266" t="s">
        <v>316</v>
      </c>
      <c r="D6" s="287">
        <f>E6*12</f>
        <v>4386.72</v>
      </c>
      <c r="E6" s="254">
        <f>F6*G6</f>
        <v>365.56</v>
      </c>
      <c r="F6" s="255">
        <v>52</v>
      </c>
      <c r="G6" s="256">
        <v>7.03</v>
      </c>
      <c r="H6" s="257"/>
    </row>
    <row r="7" spans="1:11" s="162" customFormat="1" hidden="1">
      <c r="A7" s="266" t="s">
        <v>323</v>
      </c>
      <c r="B7" s="266" t="s">
        <v>4</v>
      </c>
      <c r="C7" s="266" t="s">
        <v>316</v>
      </c>
      <c r="D7" s="287">
        <f t="shared" ref="D7" si="0">E7*12</f>
        <v>2088.2399999999998</v>
      </c>
      <c r="E7" s="254">
        <f>F7*H7</f>
        <v>174.01999999999998</v>
      </c>
      <c r="F7" s="255">
        <v>7</v>
      </c>
      <c r="G7" s="256"/>
      <c r="H7" s="257">
        <v>24.86</v>
      </c>
    </row>
    <row r="8" spans="1:11" s="162" customFormat="1" hidden="1">
      <c r="A8" s="134" t="s">
        <v>352</v>
      </c>
      <c r="B8" s="269" t="s">
        <v>0</v>
      </c>
      <c r="C8" s="266" t="s">
        <v>337</v>
      </c>
      <c r="D8" s="265">
        <v>0</v>
      </c>
      <c r="E8" s="265">
        <f>D8/12</f>
        <v>0</v>
      </c>
      <c r="F8"/>
      <c r="G8"/>
      <c r="H8"/>
      <c r="I8"/>
      <c r="J8"/>
      <c r="K8"/>
    </row>
    <row r="9" spans="1:11" s="162" customFormat="1" hidden="1">
      <c r="A9" s="266" t="s">
        <v>324</v>
      </c>
      <c r="B9" s="267" t="s">
        <v>1</v>
      </c>
      <c r="C9" s="266" t="s">
        <v>316</v>
      </c>
      <c r="D9" s="287">
        <f>E9*12</f>
        <v>4386.72</v>
      </c>
      <c r="E9" s="254">
        <f>F9*G9</f>
        <v>365.56</v>
      </c>
      <c r="F9" s="255">
        <v>52</v>
      </c>
      <c r="G9" s="256">
        <v>7.03</v>
      </c>
      <c r="H9" s="257"/>
    </row>
    <row r="10" spans="1:11" s="162" customFormat="1" hidden="1">
      <c r="A10" s="266" t="s">
        <v>325</v>
      </c>
      <c r="B10" s="267" t="s">
        <v>1</v>
      </c>
      <c r="C10" s="266" t="s">
        <v>316</v>
      </c>
      <c r="D10" s="287">
        <f>E10*12</f>
        <v>2088.2399999999998</v>
      </c>
      <c r="E10" s="254">
        <f>F10*H10</f>
        <v>174.01999999999998</v>
      </c>
      <c r="F10" s="255">
        <v>7</v>
      </c>
      <c r="G10" s="256"/>
      <c r="H10" s="257">
        <v>24.86</v>
      </c>
    </row>
    <row r="11" spans="1:11" s="162" customFormat="1" hidden="1">
      <c r="A11" s="266" t="s">
        <v>326</v>
      </c>
      <c r="B11" s="266" t="s">
        <v>12</v>
      </c>
      <c r="C11" s="266" t="s">
        <v>316</v>
      </c>
      <c r="D11" s="287">
        <f>E11*12</f>
        <v>665.6640000000001</v>
      </c>
      <c r="E11" s="254">
        <f>F11*I11</f>
        <v>55.472000000000008</v>
      </c>
      <c r="F11" s="255">
        <v>34.67</v>
      </c>
      <c r="G11" s="256"/>
      <c r="H11" s="258"/>
      <c r="I11" s="258">
        <v>1.6</v>
      </c>
    </row>
    <row r="12" spans="1:11" s="162" customFormat="1" hidden="1">
      <c r="A12" s="329" t="s">
        <v>407</v>
      </c>
      <c r="B12" s="329" t="s">
        <v>12</v>
      </c>
      <c r="C12" s="329" t="s">
        <v>316</v>
      </c>
      <c r="D12" s="330"/>
      <c r="E12" s="331"/>
      <c r="F12" s="332"/>
      <c r="G12" s="333">
        <v>7.26</v>
      </c>
      <c r="H12" s="258"/>
      <c r="I12" s="258"/>
    </row>
    <row r="13" spans="1:11" s="162" customFormat="1" hidden="1">
      <c r="A13" s="286" t="s">
        <v>344</v>
      </c>
      <c r="B13" s="270" t="s">
        <v>1</v>
      </c>
      <c r="C13" s="266" t="s">
        <v>337</v>
      </c>
      <c r="D13" s="287">
        <f t="shared" ref="D13:D18" si="1">E13*12</f>
        <v>3380.5200000000004</v>
      </c>
      <c r="E13" s="253">
        <f>F13*G13</f>
        <v>281.71000000000004</v>
      </c>
      <c r="F13" s="73">
        <v>21.67</v>
      </c>
      <c r="G13" s="274">
        <v>13</v>
      </c>
      <c r="H13"/>
      <c r="I13"/>
      <c r="J13"/>
      <c r="K13"/>
    </row>
    <row r="14" spans="1:11" s="162" customFormat="1" hidden="1">
      <c r="A14" s="286" t="s">
        <v>345</v>
      </c>
      <c r="B14" s="286" t="s">
        <v>1</v>
      </c>
      <c r="C14" s="273" t="s">
        <v>337</v>
      </c>
      <c r="D14" s="318">
        <f t="shared" si="1"/>
        <v>5408.52</v>
      </c>
      <c r="E14" s="265">
        <f>F14*G14</f>
        <v>450.71000000000004</v>
      </c>
      <c r="F14" s="134">
        <v>34.67</v>
      </c>
      <c r="G14" s="319">
        <v>13</v>
      </c>
      <c r="H14"/>
      <c r="I14"/>
      <c r="J14"/>
      <c r="K14"/>
    </row>
    <row r="15" spans="1:11" s="162" customFormat="1" hidden="1">
      <c r="A15" s="266" t="s">
        <v>327</v>
      </c>
      <c r="B15" s="266" t="s">
        <v>110</v>
      </c>
      <c r="C15" s="266" t="s">
        <v>316</v>
      </c>
      <c r="D15" s="287">
        <f t="shared" si="1"/>
        <v>365.27880000000005</v>
      </c>
      <c r="E15" s="254">
        <f>F15*G15</f>
        <v>30.439900000000002</v>
      </c>
      <c r="F15" s="255">
        <v>4.33</v>
      </c>
      <c r="G15" s="256">
        <v>7.03</v>
      </c>
      <c r="H15" s="257"/>
    </row>
    <row r="16" spans="1:11" s="162" customFormat="1" hidden="1">
      <c r="A16" s="266" t="s">
        <v>331</v>
      </c>
      <c r="B16" s="266" t="s">
        <v>110</v>
      </c>
      <c r="C16" s="266" t="s">
        <v>316</v>
      </c>
      <c r="D16" s="287">
        <f t="shared" si="1"/>
        <v>298.32</v>
      </c>
      <c r="E16" s="254">
        <f>F16*H16</f>
        <v>24.86</v>
      </c>
      <c r="F16" s="275">
        <v>1</v>
      </c>
      <c r="G16" s="256"/>
      <c r="H16" s="257">
        <v>24.86</v>
      </c>
    </row>
    <row r="17" spans="1:11" s="162" customFormat="1" hidden="1">
      <c r="A17" s="266" t="s">
        <v>333</v>
      </c>
      <c r="B17" s="266" t="s">
        <v>2</v>
      </c>
      <c r="C17" s="266" t="s">
        <v>316</v>
      </c>
      <c r="D17" s="287">
        <f t="shared" si="1"/>
        <v>1279.7411999999999</v>
      </c>
      <c r="E17" s="254">
        <f>F17*G17</f>
        <v>106.6451</v>
      </c>
      <c r="F17" s="275">
        <v>15.17</v>
      </c>
      <c r="G17" s="256">
        <v>7.03</v>
      </c>
      <c r="H17" s="257"/>
    </row>
    <row r="18" spans="1:11" s="162" customFormat="1" hidden="1">
      <c r="A18" s="266" t="s">
        <v>332</v>
      </c>
      <c r="B18" s="266" t="s">
        <v>2</v>
      </c>
      <c r="C18" s="266" t="s">
        <v>316</v>
      </c>
      <c r="D18" s="287">
        <f t="shared" si="1"/>
        <v>894.96</v>
      </c>
      <c r="E18" s="254">
        <f>F18*H18</f>
        <v>74.58</v>
      </c>
      <c r="F18" s="275">
        <v>3</v>
      </c>
      <c r="G18" s="256"/>
      <c r="H18" s="257">
        <v>24.86</v>
      </c>
    </row>
    <row r="19" spans="1:11" s="162" customFormat="1" hidden="1">
      <c r="A19" s="202" t="s">
        <v>352</v>
      </c>
      <c r="B19" s="320" t="s">
        <v>1</v>
      </c>
      <c r="C19" s="272" t="s">
        <v>337</v>
      </c>
      <c r="D19" s="312">
        <v>7300</v>
      </c>
      <c r="E19" s="312">
        <f>D19/12</f>
        <v>608.33333333333337</v>
      </c>
      <c r="F19" s="202"/>
      <c r="G19" s="202"/>
      <c r="H19" t="s">
        <v>420</v>
      </c>
      <c r="I19"/>
      <c r="J19"/>
      <c r="K19"/>
    </row>
    <row r="20" spans="1:11" s="162" customFormat="1" hidden="1">
      <c r="A20" s="273" t="s">
        <v>335</v>
      </c>
      <c r="B20" s="273" t="s">
        <v>9</v>
      </c>
      <c r="C20" s="273" t="s">
        <v>316</v>
      </c>
      <c r="D20" s="287">
        <f>E20*12</f>
        <v>731.40120000000002</v>
      </c>
      <c r="E20" s="279">
        <f>F20*G20</f>
        <v>60.950099999999999</v>
      </c>
      <c r="F20" s="280">
        <v>8.67</v>
      </c>
      <c r="G20" s="263">
        <v>7.03</v>
      </c>
      <c r="H20" s="257"/>
      <c r="I20" s="258"/>
    </row>
    <row r="21" spans="1:11" s="162" customFormat="1" hidden="1">
      <c r="A21" s="134" t="s">
        <v>352</v>
      </c>
      <c r="B21" s="271" t="s">
        <v>2</v>
      </c>
      <c r="C21" s="266" t="s">
        <v>337</v>
      </c>
      <c r="D21" s="265">
        <v>600</v>
      </c>
      <c r="E21" s="265">
        <f>D21/12</f>
        <v>50</v>
      </c>
      <c r="F21"/>
      <c r="G21"/>
      <c r="H21" t="s">
        <v>421</v>
      </c>
      <c r="I21"/>
      <c r="J21"/>
      <c r="K21"/>
    </row>
    <row r="22" spans="1:11" s="162" customFormat="1" hidden="1">
      <c r="A22" s="286" t="s">
        <v>348</v>
      </c>
      <c r="B22" s="270" t="s">
        <v>12</v>
      </c>
      <c r="C22" s="266" t="s">
        <v>337</v>
      </c>
      <c r="D22" s="287">
        <v>819</v>
      </c>
      <c r="E22" s="253"/>
      <c r="F22" s="73">
        <f>23+23+17</f>
        <v>63</v>
      </c>
      <c r="G22" s="274">
        <v>13</v>
      </c>
      <c r="H22"/>
      <c r="I22"/>
      <c r="J22"/>
      <c r="K22"/>
    </row>
    <row r="23" spans="1:11" s="162" customFormat="1" hidden="1">
      <c r="A23" s="278" t="s">
        <v>336</v>
      </c>
      <c r="B23" s="276" t="s">
        <v>9</v>
      </c>
      <c r="C23" s="273" t="s">
        <v>316</v>
      </c>
      <c r="D23" s="287">
        <f>E23*12</f>
        <v>10831.2</v>
      </c>
      <c r="E23" s="265">
        <f>G23*F23</f>
        <v>902.6</v>
      </c>
      <c r="F23" s="135">
        <v>10</v>
      </c>
      <c r="G23" s="277">
        <v>90.26</v>
      </c>
    </row>
    <row r="24" spans="1:11" s="162" customFormat="1" ht="25" hidden="1">
      <c r="A24" s="282" t="s">
        <v>339</v>
      </c>
      <c r="B24" s="162" t="s">
        <v>9</v>
      </c>
      <c r="C24" s="272" t="s">
        <v>316</v>
      </c>
      <c r="D24" s="287">
        <f>E24*12</f>
        <v>10431.684000000001</v>
      </c>
      <c r="E24" s="260">
        <f>F24*G24</f>
        <v>869.30700000000002</v>
      </c>
      <c r="F24" s="261">
        <v>15.1</v>
      </c>
      <c r="G24" s="258">
        <v>57.57</v>
      </c>
      <c r="K24" s="162">
        <f>770.5*12</f>
        <v>9246</v>
      </c>
    </row>
    <row r="25" spans="1:11" ht="25" hidden="1">
      <c r="A25" s="282" t="s">
        <v>340</v>
      </c>
      <c r="B25" s="268" t="s">
        <v>1</v>
      </c>
      <c r="C25" s="266" t="s">
        <v>316</v>
      </c>
      <c r="D25" s="287">
        <f>E25*12</f>
        <v>41913.262800000004</v>
      </c>
      <c r="E25" s="262">
        <f>F25*G25</f>
        <v>3492.7719000000002</v>
      </c>
      <c r="F25" s="259">
        <v>60.67</v>
      </c>
      <c r="G25" s="263">
        <v>57.57</v>
      </c>
    </row>
    <row r="26" spans="1:11" hidden="1">
      <c r="A26" s="134" t="s">
        <v>352</v>
      </c>
      <c r="B26" s="269" t="s">
        <v>12</v>
      </c>
      <c r="C26" s="266" t="s">
        <v>337</v>
      </c>
      <c r="D26" s="265">
        <v>700</v>
      </c>
      <c r="E26" s="265">
        <f>D26/12</f>
        <v>58.333333333333336</v>
      </c>
    </row>
    <row r="27" spans="1:11" hidden="1">
      <c r="A27" s="134" t="s">
        <v>356</v>
      </c>
      <c r="B27" s="269" t="s">
        <v>12</v>
      </c>
      <c r="C27" s="266" t="s">
        <v>337</v>
      </c>
      <c r="D27" s="265">
        <v>3000</v>
      </c>
      <c r="E27" s="265">
        <f>D27/12</f>
        <v>250</v>
      </c>
    </row>
    <row r="28" spans="1:11" hidden="1">
      <c r="A28" s="269" t="s">
        <v>343</v>
      </c>
      <c r="B28" s="269" t="s">
        <v>9</v>
      </c>
      <c r="C28" s="266" t="s">
        <v>316</v>
      </c>
      <c r="D28" s="287">
        <f>E28*12</f>
        <v>2678.5200000000004</v>
      </c>
      <c r="E28" s="253">
        <f>F28*G28</f>
        <v>223.21000000000004</v>
      </c>
      <c r="F28" s="264">
        <v>17.170000000000002</v>
      </c>
      <c r="G28" s="274">
        <v>13</v>
      </c>
      <c r="H28" s="285"/>
    </row>
    <row r="29" spans="1:11" hidden="1">
      <c r="A29" s="134" t="s">
        <v>356</v>
      </c>
      <c r="B29" s="269" t="s">
        <v>109</v>
      </c>
      <c r="C29" s="266" t="s">
        <v>337</v>
      </c>
      <c r="D29" s="265">
        <v>13000</v>
      </c>
      <c r="E29" s="265">
        <f>D29/12</f>
        <v>1083.3333333333333</v>
      </c>
    </row>
    <row r="30" spans="1:11" hidden="1">
      <c r="A30" s="266" t="s">
        <v>328</v>
      </c>
      <c r="B30" s="266" t="s">
        <v>4</v>
      </c>
      <c r="C30" s="266" t="s">
        <v>337</v>
      </c>
      <c r="D30" s="287">
        <f>E30*12</f>
        <v>183.06120000000001</v>
      </c>
      <c r="E30" s="254">
        <f>F30*G30</f>
        <v>15.255100000000001</v>
      </c>
      <c r="F30" s="255">
        <v>2.17</v>
      </c>
      <c r="G30" s="256">
        <v>7.03</v>
      </c>
      <c r="H30" s="257"/>
      <c r="I30" s="162"/>
      <c r="J30" s="162"/>
      <c r="K30" s="162"/>
    </row>
    <row r="31" spans="1:11" hidden="1">
      <c r="A31" s="266" t="s">
        <v>347</v>
      </c>
      <c r="B31" s="270" t="s">
        <v>4</v>
      </c>
      <c r="C31" s="266" t="s">
        <v>337</v>
      </c>
      <c r="D31" s="287">
        <f>E31*12</f>
        <v>338.52</v>
      </c>
      <c r="E31" s="253">
        <f>F31*G31</f>
        <v>28.21</v>
      </c>
      <c r="F31" s="73">
        <v>2.17</v>
      </c>
      <c r="G31" s="274">
        <v>13</v>
      </c>
    </row>
    <row r="32" spans="1:11" hidden="1">
      <c r="A32" s="134" t="s">
        <v>356</v>
      </c>
      <c r="B32" s="269" t="s">
        <v>4</v>
      </c>
      <c r="C32" s="266" t="s">
        <v>337</v>
      </c>
      <c r="D32" s="265">
        <v>2000</v>
      </c>
      <c r="E32" s="265">
        <f>D32/12</f>
        <v>166.66666666666666</v>
      </c>
    </row>
    <row r="33" spans="1:11" hidden="1">
      <c r="A33" s="284" t="s">
        <v>349</v>
      </c>
      <c r="B33" s="269" t="s">
        <v>5</v>
      </c>
      <c r="C33" s="266" t="s">
        <v>337</v>
      </c>
      <c r="D33" s="287">
        <v>0</v>
      </c>
      <c r="E33" s="253"/>
      <c r="F33" s="264">
        <v>100</v>
      </c>
      <c r="G33" s="274">
        <v>13</v>
      </c>
      <c r="H33" t="s">
        <v>399</v>
      </c>
    </row>
    <row r="34" spans="1:11" hidden="1">
      <c r="A34" s="134" t="s">
        <v>352</v>
      </c>
      <c r="B34" s="284" t="s">
        <v>5</v>
      </c>
      <c r="C34" s="273" t="s">
        <v>337</v>
      </c>
      <c r="D34" s="265">
        <f>1776.65*2</f>
        <v>3553.3</v>
      </c>
      <c r="E34" s="265">
        <f t="shared" ref="E34:E41" si="2">D34/12</f>
        <v>296.10833333333335</v>
      </c>
      <c r="F34" s="202"/>
      <c r="G34" s="202"/>
    </row>
    <row r="35" spans="1:11" hidden="1">
      <c r="A35" t="s">
        <v>319</v>
      </c>
      <c r="B35" s="269" t="s">
        <v>9</v>
      </c>
      <c r="C35" s="266" t="s">
        <v>316</v>
      </c>
      <c r="D35" s="265">
        <v>3454.36</v>
      </c>
      <c r="E35" s="265">
        <f t="shared" si="2"/>
        <v>287.86333333333334</v>
      </c>
      <c r="F35">
        <f>26*3.5*52</f>
        <v>4732</v>
      </c>
      <c r="G35" s="274">
        <v>0.73</v>
      </c>
      <c r="H35" s="212"/>
    </row>
    <row r="36" spans="1:11" hidden="1">
      <c r="A36" t="s">
        <v>319</v>
      </c>
      <c r="B36" s="269" t="s">
        <v>0</v>
      </c>
      <c r="C36" s="266" t="s">
        <v>316</v>
      </c>
      <c r="D36" s="265">
        <v>832</v>
      </c>
      <c r="E36" s="265">
        <f t="shared" si="2"/>
        <v>69.333333333333329</v>
      </c>
      <c r="F36">
        <f>5*2*52</f>
        <v>520</v>
      </c>
      <c r="G36" s="274">
        <v>1.6</v>
      </c>
      <c r="H36" s="212"/>
    </row>
    <row r="37" spans="1:11" hidden="1">
      <c r="A37" t="s">
        <v>319</v>
      </c>
      <c r="B37" s="269" t="s">
        <v>109</v>
      </c>
      <c r="C37" s="266" t="s">
        <v>316</v>
      </c>
      <c r="D37" s="265">
        <v>6377.28</v>
      </c>
      <c r="E37" s="265">
        <f t="shared" si="2"/>
        <v>531.43999999999994</v>
      </c>
      <c r="F37">
        <f>48*3.5*52</f>
        <v>8736</v>
      </c>
      <c r="G37" s="274">
        <v>0.73</v>
      </c>
      <c r="H37" s="212"/>
    </row>
    <row r="38" spans="1:11" hidden="1">
      <c r="A38" t="s">
        <v>319</v>
      </c>
      <c r="B38" s="269" t="s">
        <v>5</v>
      </c>
      <c r="C38" s="266" t="s">
        <v>316</v>
      </c>
      <c r="D38" s="265">
        <v>3188.64</v>
      </c>
      <c r="E38" s="265">
        <f t="shared" si="2"/>
        <v>265.71999999999997</v>
      </c>
      <c r="F38">
        <f>24*3.5*52</f>
        <v>4368</v>
      </c>
      <c r="G38" s="274">
        <v>0.73</v>
      </c>
      <c r="H38" s="212"/>
    </row>
    <row r="39" spans="1:11" hidden="1">
      <c r="A39" t="s">
        <v>320</v>
      </c>
      <c r="B39" s="269" t="s">
        <v>11</v>
      </c>
      <c r="C39" s="266" t="s">
        <v>316</v>
      </c>
      <c r="D39" s="265">
        <v>1461.46</v>
      </c>
      <c r="E39" s="265">
        <f t="shared" si="2"/>
        <v>121.78833333333334</v>
      </c>
      <c r="F39">
        <f>11*3.5*52</f>
        <v>2002</v>
      </c>
      <c r="G39" s="274">
        <v>0.73</v>
      </c>
      <c r="H39" s="212"/>
    </row>
    <row r="40" spans="1:11" hidden="1">
      <c r="A40" t="s">
        <v>321</v>
      </c>
      <c r="B40" s="269" t="s">
        <v>11</v>
      </c>
      <c r="C40" s="266" t="s">
        <v>316</v>
      </c>
      <c r="D40" s="265">
        <v>332.8</v>
      </c>
      <c r="E40" s="265">
        <f t="shared" si="2"/>
        <v>27.733333333333334</v>
      </c>
      <c r="F40">
        <f>2*2*52</f>
        <v>208</v>
      </c>
      <c r="G40" s="274">
        <v>1.6</v>
      </c>
      <c r="H40" s="212"/>
    </row>
    <row r="41" spans="1:11" hidden="1">
      <c r="A41" t="s">
        <v>319</v>
      </c>
      <c r="B41" s="269" t="s">
        <v>8</v>
      </c>
      <c r="C41" s="266" t="s">
        <v>316</v>
      </c>
      <c r="D41" s="265">
        <v>15013.18</v>
      </c>
      <c r="E41" s="265">
        <f t="shared" si="2"/>
        <v>1251.0983333333334</v>
      </c>
      <c r="F41">
        <f>113*3.5*52</f>
        <v>20566</v>
      </c>
      <c r="G41" s="274">
        <v>0.73</v>
      </c>
      <c r="H41" s="212"/>
    </row>
    <row r="42" spans="1:11" hidden="1">
      <c r="A42" s="266" t="s">
        <v>330</v>
      </c>
      <c r="B42" s="266" t="s">
        <v>6</v>
      </c>
      <c r="C42" s="266" t="s">
        <v>337</v>
      </c>
      <c r="D42" s="287">
        <f>E42*12</f>
        <v>183.06120000000001</v>
      </c>
      <c r="E42" s="254">
        <f>F42*G42</f>
        <v>15.255100000000001</v>
      </c>
      <c r="F42" s="255">
        <v>2.17</v>
      </c>
      <c r="G42" s="256">
        <v>7.03</v>
      </c>
      <c r="H42" s="257"/>
      <c r="I42" s="162"/>
      <c r="J42" s="162"/>
      <c r="K42" s="162"/>
    </row>
    <row r="43" spans="1:11" hidden="1">
      <c r="A43" s="134" t="s">
        <v>352</v>
      </c>
      <c r="B43" s="269" t="s">
        <v>6</v>
      </c>
      <c r="C43" s="266" t="s">
        <v>337</v>
      </c>
      <c r="D43" s="265">
        <v>0</v>
      </c>
      <c r="E43" s="265">
        <f>D43/12</f>
        <v>0</v>
      </c>
    </row>
    <row r="44" spans="1:11" hidden="1">
      <c r="A44" s="134" t="s">
        <v>352</v>
      </c>
      <c r="B44" s="269" t="s">
        <v>7</v>
      </c>
      <c r="C44" s="266" t="s">
        <v>337</v>
      </c>
      <c r="D44" s="265">
        <v>0</v>
      </c>
      <c r="E44" s="265">
        <f>D44/12</f>
        <v>0</v>
      </c>
    </row>
    <row r="45" spans="1:11" hidden="1">
      <c r="A45" s="266" t="s">
        <v>329</v>
      </c>
      <c r="B45" s="266" t="s">
        <v>8</v>
      </c>
      <c r="C45" s="266" t="s">
        <v>337</v>
      </c>
      <c r="D45" s="287">
        <f>E45*12</f>
        <v>365.27880000000005</v>
      </c>
      <c r="E45" s="254">
        <f>F45*G45</f>
        <v>30.439900000000002</v>
      </c>
      <c r="F45" s="255">
        <v>4.33</v>
      </c>
      <c r="G45" s="256">
        <v>7.03</v>
      </c>
      <c r="H45" s="257"/>
      <c r="I45" s="162"/>
      <c r="J45" s="162"/>
      <c r="K45" s="162"/>
    </row>
    <row r="46" spans="1:11" hidden="1">
      <c r="A46" s="266" t="s">
        <v>346</v>
      </c>
      <c r="B46" s="270" t="s">
        <v>8</v>
      </c>
      <c r="C46" s="266" t="s">
        <v>337</v>
      </c>
      <c r="D46" s="287">
        <f>E46*12</f>
        <v>675.48</v>
      </c>
      <c r="E46" s="253">
        <f>F46*G46</f>
        <v>56.29</v>
      </c>
      <c r="F46" s="73">
        <v>4.33</v>
      </c>
      <c r="G46" s="274">
        <v>13</v>
      </c>
    </row>
    <row r="47" spans="1:11" hidden="1">
      <c r="A47" s="134" t="s">
        <v>352</v>
      </c>
      <c r="B47" s="269" t="s">
        <v>8</v>
      </c>
      <c r="C47" s="266" t="s">
        <v>337</v>
      </c>
      <c r="D47" s="265">
        <v>4000</v>
      </c>
      <c r="E47" s="265">
        <f>D47/12</f>
        <v>333.33333333333331</v>
      </c>
    </row>
    <row r="48" spans="1:11" hidden="1">
      <c r="A48" s="134" t="s">
        <v>423</v>
      </c>
      <c r="B48" s="269" t="s">
        <v>8</v>
      </c>
      <c r="C48" s="266" t="s">
        <v>337</v>
      </c>
      <c r="D48" s="265">
        <f>E48*12</f>
        <v>731.40120000000002</v>
      </c>
      <c r="E48" s="265">
        <f>F48*G48</f>
        <v>60.950099999999999</v>
      </c>
      <c r="F48">
        <v>8.67</v>
      </c>
      <c r="G48" s="256">
        <v>7.03</v>
      </c>
    </row>
    <row r="49" spans="1:11" ht="75" hidden="1">
      <c r="A49" s="272" t="s">
        <v>334</v>
      </c>
      <c r="B49" s="272" t="s">
        <v>9</v>
      </c>
      <c r="C49" s="272" t="s">
        <v>337</v>
      </c>
      <c r="D49" s="324">
        <f>E49*12</f>
        <v>183.06120000000001</v>
      </c>
      <c r="E49" s="325">
        <f>F49*G49</f>
        <v>15.255100000000001</v>
      </c>
      <c r="F49" s="326">
        <v>2.17</v>
      </c>
      <c r="G49" s="327">
        <v>7.03</v>
      </c>
      <c r="H49" s="257"/>
      <c r="I49" s="162"/>
      <c r="J49" s="162" t="s">
        <v>400</v>
      </c>
      <c r="K49" s="162" t="s">
        <v>401</v>
      </c>
    </row>
    <row r="50" spans="1:11" hidden="1">
      <c r="A50" s="273" t="s">
        <v>338</v>
      </c>
      <c r="B50" s="266" t="s">
        <v>9</v>
      </c>
      <c r="C50" s="272" t="s">
        <v>337</v>
      </c>
      <c r="D50" s="287">
        <f>E50*12</f>
        <v>731.40120000000002</v>
      </c>
      <c r="E50" s="254">
        <f>F50*G50</f>
        <v>60.950099999999999</v>
      </c>
      <c r="F50" s="275">
        <v>8.67</v>
      </c>
      <c r="G50" s="256">
        <v>7.03</v>
      </c>
      <c r="H50" s="257"/>
      <c r="I50" s="258"/>
      <c r="J50" s="162"/>
      <c r="K50" s="162"/>
    </row>
    <row r="51" spans="1:11" ht="25" hidden="1">
      <c r="A51" s="283" t="s">
        <v>342</v>
      </c>
      <c r="B51" s="269" t="s">
        <v>9</v>
      </c>
      <c r="C51" s="266" t="s">
        <v>337</v>
      </c>
      <c r="D51" s="287">
        <f>E51*12</f>
        <v>1352.52</v>
      </c>
      <c r="E51" s="253">
        <f>F51*G51</f>
        <v>112.71</v>
      </c>
      <c r="F51" s="264">
        <f>4.33+2.17+2.17</f>
        <v>8.67</v>
      </c>
      <c r="G51" s="274">
        <v>13</v>
      </c>
    </row>
    <row r="52" spans="1:11" hidden="1">
      <c r="A52" s="134" t="s">
        <v>352</v>
      </c>
      <c r="B52" s="269" t="s">
        <v>10</v>
      </c>
      <c r="C52" s="266" t="s">
        <v>337</v>
      </c>
      <c r="D52" s="265">
        <v>0</v>
      </c>
      <c r="E52" s="265">
        <f>D52/12</f>
        <v>0</v>
      </c>
    </row>
    <row r="53" spans="1:11" hidden="1">
      <c r="A53" s="266" t="s">
        <v>329</v>
      </c>
      <c r="B53" s="266" t="s">
        <v>11</v>
      </c>
      <c r="C53" s="266" t="s">
        <v>337</v>
      </c>
      <c r="D53" s="287">
        <f>E53*12</f>
        <v>731.40120000000002</v>
      </c>
      <c r="E53" s="254">
        <f>F53*G53</f>
        <v>60.950099999999999</v>
      </c>
      <c r="F53" s="275">
        <v>8.67</v>
      </c>
      <c r="G53" s="256">
        <v>7.03</v>
      </c>
      <c r="H53" s="257"/>
      <c r="I53" s="162"/>
      <c r="J53" s="162"/>
      <c r="K53" s="162"/>
    </row>
    <row r="54" spans="1:11" hidden="1">
      <c r="A54" s="134" t="s">
        <v>352</v>
      </c>
      <c r="B54" s="269" t="s">
        <v>11</v>
      </c>
      <c r="C54" s="266" t="s">
        <v>337</v>
      </c>
      <c r="D54" s="265">
        <v>6000</v>
      </c>
      <c r="E54" s="265">
        <f>D54/12</f>
        <v>500</v>
      </c>
      <c r="H54" t="s">
        <v>424</v>
      </c>
    </row>
    <row r="55" spans="1:11">
      <c r="A55" s="134" t="s">
        <v>341</v>
      </c>
      <c r="B55" s="268" t="s">
        <v>110</v>
      </c>
      <c r="C55" s="266" t="s">
        <v>337</v>
      </c>
      <c r="D55" s="287">
        <f>E55*12</f>
        <v>5989.5828000000001</v>
      </c>
      <c r="E55" s="262">
        <f>F55*G55</f>
        <v>499.13189999999997</v>
      </c>
      <c r="F55" s="259">
        <v>8.67</v>
      </c>
      <c r="G55" s="263">
        <v>57.57</v>
      </c>
    </row>
    <row r="56" spans="1:11">
      <c r="A56" s="134" t="s">
        <v>352</v>
      </c>
      <c r="B56" s="269" t="s">
        <v>110</v>
      </c>
      <c r="C56" s="266" t="s">
        <v>337</v>
      </c>
      <c r="D56" s="265">
        <v>5000</v>
      </c>
      <c r="E56" s="265">
        <f>D56/12</f>
        <v>416.66666666666669</v>
      </c>
      <c r="H56" t="s">
        <v>425</v>
      </c>
    </row>
    <row r="57" spans="1:11" hidden="1">
      <c r="A57" s="202" t="s">
        <v>350</v>
      </c>
      <c r="B57" s="269"/>
      <c r="C57" s="266" t="s">
        <v>337</v>
      </c>
      <c r="D57" t="s">
        <v>354</v>
      </c>
    </row>
    <row r="58" spans="1:11" hidden="1">
      <c r="A58" s="202" t="s">
        <v>353</v>
      </c>
      <c r="B58" s="269"/>
      <c r="C58" s="266" t="s">
        <v>337</v>
      </c>
      <c r="D58" t="s">
        <v>355</v>
      </c>
    </row>
    <row r="59" spans="1:11" hidden="1">
      <c r="A59" t="s">
        <v>437</v>
      </c>
      <c r="B59" s="269" t="s">
        <v>8</v>
      </c>
      <c r="C59" s="266" t="s">
        <v>337</v>
      </c>
      <c r="D59">
        <v>500</v>
      </c>
    </row>
    <row r="60" spans="1:11" ht="15" hidden="1" customHeight="1">
      <c r="A60" s="538" t="s">
        <v>438</v>
      </c>
      <c r="B60" s="269" t="s">
        <v>9</v>
      </c>
      <c r="C60" s="266" t="s">
        <v>337</v>
      </c>
      <c r="D60" s="287">
        <v>800</v>
      </c>
      <c r="E60" s="253"/>
      <c r="F60" s="264"/>
      <c r="G60" s="274"/>
    </row>
  </sheetData>
  <autoFilter ref="A5:K60">
    <filterColumn colId="1">
      <filters>
        <filter val="Sarrià de Ter"/>
      </filters>
    </filterColumn>
    <filterColumn colId="2">
      <filters>
        <filter val="SERVEI MUNICIPAL"/>
      </filters>
    </filterColumn>
  </autoFilter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DESPESES GLOBALS</vt:lpstr>
      <vt:lpstr>DESPESES ESPECÍFIQUES</vt:lpstr>
      <vt:lpstr>INGRESSOS SERVEIS</vt:lpstr>
      <vt:lpstr>COST SERVEI</vt:lpstr>
      <vt:lpstr>RECAPTACIÓ HABITATGES</vt:lpstr>
      <vt:lpstr>RECAPTACIÓ COMERCIAL </vt:lpstr>
      <vt:lpstr>CÀLCUL QUOTES set25</vt:lpstr>
      <vt:lpstr>BALANÇ FINAL set25</vt:lpstr>
      <vt:lpstr>Extres</vt:lpstr>
      <vt:lpstr>DESPESES SERVEIS</vt:lpstr>
      <vt:lpstr>PART FIXA DOM.</vt:lpstr>
      <vt:lpstr>PART VARIABLE DOM.</vt:lpstr>
      <vt:lpstr>Part fixa+específica</vt:lpstr>
      <vt:lpstr>import de licitació</vt:lpstr>
      <vt:lpstr>BANYERES PODA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</dc:creator>
  <cp:lastModifiedBy>.</cp:lastModifiedBy>
  <cp:revision>0</cp:revision>
  <cp:lastPrinted>2024-04-17T11:21:27Z</cp:lastPrinted>
  <dcterms:created xsi:type="dcterms:W3CDTF">2020-02-04T09:42:23Z</dcterms:created>
  <dcterms:modified xsi:type="dcterms:W3CDTF">2025-10-17T10:53:13Z</dcterms:modified>
  <dc:language>es-ES</dc:language>
</cp:coreProperties>
</file>