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07"/>
  <workbookPr defaultThemeVersion="124226"/>
  <xr:revisionPtr revIDLastSave="14" documentId="11_7AE8BD73BF24AA76A2CFC85ADE7AC8D6CC500E71" xr6:coauthVersionLast="47" xr6:coauthVersionMax="47" xr10:uidLastSave="{E2CCB6A7-9FB5-4FEB-9E34-0980BDB0CA89}"/>
  <bookViews>
    <workbookView xWindow="-15" yWindow="-15" windowWidth="23250" windowHeight="6405" tabRatio="830" activeTab="7" xr2:uid="{00000000-000D-0000-FFFF-FFFF00000000}"/>
  </bookViews>
  <sheets>
    <sheet name="CÀLCUL QUOTES" sheetId="38" r:id="rId1"/>
    <sheet name="DESPESES GLOBALS" sheetId="42" r:id="rId2"/>
    <sheet name="INGRESSOS GLOBALS" sheetId="33" r:id="rId3"/>
    <sheet name="DESPESES ESPECÍFIQUES" sheetId="43" r:id="rId4"/>
    <sheet name="COST SERVEI" sheetId="36" r:id="rId5"/>
    <sheet name="RECAPTACIÓ HABITATGES" sheetId="37" r:id="rId6"/>
    <sheet name="RECAPTACIÓ COMERCIAL " sheetId="47" r:id="rId7"/>
    <sheet name="BALANÇ FINAL" sheetId="4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7" l="1"/>
  <c r="G35" i="47"/>
  <c r="G36" i="47"/>
  <c r="G37" i="47"/>
  <c r="G38" i="47"/>
  <c r="G39" i="47"/>
  <c r="G40" i="47"/>
  <c r="G41" i="47"/>
  <c r="G42" i="47"/>
  <c r="G43" i="47"/>
  <c r="G44" i="47"/>
  <c r="G45" i="47"/>
  <c r="G46" i="47"/>
  <c r="G47" i="47"/>
  <c r="G33" i="47"/>
  <c r="J39" i="47" l="1"/>
  <c r="J43" i="47"/>
  <c r="D60" i="37"/>
  <c r="D59" i="37"/>
  <c r="D57" i="37"/>
  <c r="D56" i="37"/>
  <c r="D55" i="37"/>
  <c r="D53" i="37"/>
  <c r="D52" i="37"/>
  <c r="D51" i="37"/>
  <c r="D50" i="37"/>
  <c r="D48" i="37"/>
  <c r="D47" i="37"/>
  <c r="D46" i="37"/>
  <c r="D45" i="37"/>
  <c r="D47" i="43" l="1"/>
  <c r="E47" i="43"/>
  <c r="F47" i="43"/>
  <c r="G47" i="43"/>
  <c r="H47" i="43"/>
  <c r="I47" i="43"/>
  <c r="J47" i="43"/>
  <c r="K47" i="43"/>
  <c r="L47" i="43"/>
  <c r="M47" i="43"/>
  <c r="N47" i="43"/>
  <c r="O47" i="43"/>
  <c r="D48" i="43"/>
  <c r="E48" i="43"/>
  <c r="F48" i="43"/>
  <c r="G48" i="43"/>
  <c r="I48" i="43"/>
  <c r="J48" i="43"/>
  <c r="L48" i="43"/>
  <c r="M48" i="43"/>
  <c r="D49" i="43"/>
  <c r="E49" i="43"/>
  <c r="F49" i="43"/>
  <c r="G49" i="43"/>
  <c r="H49" i="43"/>
  <c r="I49" i="43"/>
  <c r="J49" i="43"/>
  <c r="K49" i="43"/>
  <c r="L49" i="43"/>
  <c r="M49" i="43"/>
  <c r="O49" i="43"/>
  <c r="L50" i="43"/>
  <c r="O50" i="43"/>
  <c r="D51" i="43"/>
  <c r="E51" i="43"/>
  <c r="H51" i="43"/>
  <c r="I51" i="43"/>
  <c r="J51" i="43"/>
  <c r="K51" i="43"/>
  <c r="L51" i="43"/>
  <c r="M51" i="43"/>
  <c r="N51" i="43"/>
  <c r="O51" i="43"/>
  <c r="D52" i="43"/>
  <c r="E52" i="43"/>
  <c r="F52" i="43"/>
  <c r="G52" i="43"/>
  <c r="H52" i="43"/>
  <c r="I52" i="43"/>
  <c r="J52" i="43"/>
  <c r="K52" i="43"/>
  <c r="L52" i="43"/>
  <c r="M52" i="43"/>
  <c r="N52" i="43"/>
  <c r="O52" i="43"/>
  <c r="E53" i="43"/>
  <c r="F53" i="43"/>
  <c r="G53" i="43"/>
  <c r="H53" i="43"/>
  <c r="J53" i="43"/>
  <c r="K53" i="43"/>
  <c r="L53" i="43"/>
  <c r="M53" i="43"/>
  <c r="O53" i="43"/>
  <c r="E54" i="43"/>
  <c r="F54" i="43"/>
  <c r="G54" i="43"/>
  <c r="J54" i="43"/>
  <c r="M54" i="43"/>
  <c r="C48" i="43"/>
  <c r="C49" i="43"/>
  <c r="C51" i="43"/>
  <c r="C52" i="43"/>
  <c r="C54" i="43"/>
  <c r="C47" i="43"/>
  <c r="P6" i="36"/>
  <c r="P7" i="36" s="1"/>
  <c r="O6" i="36"/>
  <c r="O7" i="36" s="1"/>
  <c r="N6" i="36"/>
  <c r="N7" i="36" s="1"/>
  <c r="M6" i="36"/>
  <c r="M7" i="36" s="1"/>
  <c r="L6" i="36"/>
  <c r="L7" i="36" s="1"/>
  <c r="K6" i="36"/>
  <c r="K7" i="36" s="1"/>
  <c r="J6" i="36"/>
  <c r="J7" i="36" s="1"/>
  <c r="I6" i="36"/>
  <c r="I7" i="36" s="1"/>
  <c r="H6" i="36"/>
  <c r="H7" i="36" s="1"/>
  <c r="G6" i="36"/>
  <c r="G7" i="36" s="1"/>
  <c r="F6" i="36"/>
  <c r="F7" i="36" s="1"/>
  <c r="E6" i="36"/>
  <c r="E7" i="36" s="1"/>
  <c r="D6" i="36"/>
  <c r="D7" i="36" s="1"/>
  <c r="C6" i="36"/>
  <c r="C7" i="36" s="1"/>
  <c r="P4" i="36"/>
  <c r="O4" i="36"/>
  <c r="N4" i="36"/>
  <c r="M4" i="36"/>
  <c r="L4" i="36"/>
  <c r="K4" i="36"/>
  <c r="J4" i="36"/>
  <c r="I4" i="36"/>
  <c r="H4" i="36"/>
  <c r="G4" i="36"/>
  <c r="F4" i="36"/>
  <c r="E4" i="36"/>
  <c r="D4" i="36"/>
  <c r="C4" i="36"/>
  <c r="P3" i="36"/>
  <c r="P5" i="36" s="1"/>
  <c r="O3" i="36"/>
  <c r="O5" i="36" s="1"/>
  <c r="O8" i="36" s="1"/>
  <c r="N3" i="36"/>
  <c r="N5" i="36" s="1"/>
  <c r="M3" i="36"/>
  <c r="M5" i="36" s="1"/>
  <c r="L3" i="36"/>
  <c r="L5" i="36" s="1"/>
  <c r="K3" i="36"/>
  <c r="K5" i="36" s="1"/>
  <c r="J3" i="36"/>
  <c r="J5" i="36" s="1"/>
  <c r="I3" i="36"/>
  <c r="I5" i="36" s="1"/>
  <c r="I8" i="36" s="1"/>
  <c r="H3" i="36"/>
  <c r="H5" i="36" s="1"/>
  <c r="G3" i="36"/>
  <c r="G5" i="36" s="1"/>
  <c r="F3" i="36"/>
  <c r="F5" i="36" s="1"/>
  <c r="E3" i="36"/>
  <c r="E5" i="36" s="1"/>
  <c r="D3" i="36"/>
  <c r="D5" i="36" s="1"/>
  <c r="C3" i="36"/>
  <c r="C5" i="36" s="1"/>
  <c r="C8" i="36" s="1"/>
  <c r="D5" i="38"/>
  <c r="E8" i="36" l="1"/>
  <c r="K8" i="36"/>
  <c r="D8" i="36"/>
  <c r="J8" i="36"/>
  <c r="P8" i="36"/>
  <c r="L8" i="36"/>
  <c r="G8" i="36"/>
  <c r="M8" i="36"/>
  <c r="F8" i="36"/>
  <c r="H8" i="36"/>
  <c r="N8" i="36"/>
  <c r="M31" i="38"/>
  <c r="L54" i="43" s="1"/>
  <c r="E27" i="38" l="1"/>
  <c r="D50" i="43" s="1"/>
  <c r="O26" i="38" l="1"/>
  <c r="N49" i="43" s="1"/>
  <c r="O25" i="38"/>
  <c r="N48" i="43" s="1"/>
  <c r="L27" i="38" l="1"/>
  <c r="K50" i="43" s="1"/>
  <c r="L25" i="38" l="1"/>
  <c r="K48" i="43" s="1"/>
  <c r="J31" i="38" l="1"/>
  <c r="I54" i="43" s="1"/>
  <c r="Q29" i="38" l="1"/>
  <c r="P52" i="43" s="1"/>
  <c r="B63" i="47" l="1"/>
  <c r="Q53" i="41" s="1"/>
  <c r="I48" i="47" l="1"/>
  <c r="H34" i="47" l="1"/>
  <c r="J34" i="47" s="1"/>
  <c r="H36" i="47"/>
  <c r="J36" i="47" s="1"/>
  <c r="H37" i="47"/>
  <c r="J37" i="47" s="1"/>
  <c r="H38" i="47"/>
  <c r="J38" i="47" s="1"/>
  <c r="H40" i="47"/>
  <c r="J40" i="47" s="1"/>
  <c r="H41" i="47"/>
  <c r="J41" i="47" s="1"/>
  <c r="H42" i="47"/>
  <c r="J42" i="47" s="1"/>
  <c r="H44" i="47"/>
  <c r="J44" i="47" s="1"/>
  <c r="H45" i="47"/>
  <c r="J45" i="47" s="1"/>
  <c r="H47" i="47"/>
  <c r="J47" i="47" s="1"/>
  <c r="H33" i="47"/>
  <c r="J33" i="47" s="1"/>
  <c r="B48" i="47"/>
  <c r="C48" i="47"/>
  <c r="H48" i="47" l="1"/>
  <c r="E31" i="38"/>
  <c r="D54" i="43" s="1"/>
  <c r="E48" i="47" l="1"/>
  <c r="D48" i="47"/>
  <c r="G48" i="47" l="1"/>
  <c r="J48" i="47"/>
  <c r="Q52" i="41" l="1"/>
  <c r="E3" i="37" l="1"/>
  <c r="D16" i="37"/>
  <c r="E16" i="37"/>
  <c r="F16" i="37"/>
  <c r="G16" i="37"/>
  <c r="H16" i="37"/>
  <c r="I16" i="37"/>
  <c r="J16" i="37"/>
  <c r="K16" i="37"/>
  <c r="L16" i="37"/>
  <c r="M16" i="37"/>
  <c r="N16" i="37"/>
  <c r="O16" i="37"/>
  <c r="P16" i="37"/>
  <c r="E15" i="37"/>
  <c r="F15" i="37"/>
  <c r="G15" i="37"/>
  <c r="H15" i="37"/>
  <c r="I15" i="37"/>
  <c r="J15" i="37"/>
  <c r="K15" i="37"/>
  <c r="L15" i="37"/>
  <c r="M15" i="37"/>
  <c r="N15" i="37"/>
  <c r="O15" i="37"/>
  <c r="P15" i="37"/>
  <c r="D15" i="37"/>
  <c r="D55" i="38" l="1"/>
  <c r="P31" i="38" l="1"/>
  <c r="O54" i="43" s="1"/>
  <c r="P13" i="38"/>
  <c r="O31" i="38"/>
  <c r="N54" i="43" s="1"/>
  <c r="O13" i="38"/>
  <c r="M13" i="38"/>
  <c r="L31" i="38"/>
  <c r="K54" i="43" s="1"/>
  <c r="L13" i="38"/>
  <c r="J13" i="38"/>
  <c r="I25" i="38"/>
  <c r="H48" i="43" s="1"/>
  <c r="I31" i="38"/>
  <c r="H54" i="43" s="1"/>
  <c r="I13" i="38"/>
  <c r="H13" i="38"/>
  <c r="F13" i="38" l="1"/>
  <c r="E13" i="38"/>
  <c r="O30" i="38" l="1"/>
  <c r="N53" i="43" s="1"/>
  <c r="J30" i="38"/>
  <c r="I53" i="43" s="1"/>
  <c r="E30" i="38"/>
  <c r="D53" i="43" s="1"/>
  <c r="D30" i="38"/>
  <c r="C53" i="43" s="1"/>
  <c r="H28" i="38"/>
  <c r="G51" i="43" s="1"/>
  <c r="G28" i="38"/>
  <c r="F51" i="43" s="1"/>
  <c r="O27" i="38" l="1"/>
  <c r="N50" i="43" s="1"/>
  <c r="N27" i="38"/>
  <c r="M50" i="43" s="1"/>
  <c r="K27" i="38"/>
  <c r="J50" i="43" s="1"/>
  <c r="J27" i="38"/>
  <c r="I50" i="43" s="1"/>
  <c r="I27" i="38"/>
  <c r="H50" i="43" s="1"/>
  <c r="H27" i="38"/>
  <c r="G50" i="43" s="1"/>
  <c r="G27" i="38"/>
  <c r="D27" i="38"/>
  <c r="C50" i="43" s="1"/>
  <c r="F27" i="38"/>
  <c r="E50" i="43" s="1"/>
  <c r="G32" i="38" l="1"/>
  <c r="F50" i="43"/>
  <c r="P25" i="38"/>
  <c r="O48" i="43" s="1"/>
  <c r="Q11" i="38" l="1"/>
  <c r="C3" i="42" s="1"/>
  <c r="D14" i="38" l="1"/>
  <c r="D15" i="38"/>
  <c r="M14" i="38" l="1"/>
  <c r="J14" i="38"/>
  <c r="F14" i="38"/>
  <c r="N14" i="38"/>
  <c r="K14" i="38"/>
  <c r="G14" i="38"/>
  <c r="O14" i="38"/>
  <c r="H14" i="38"/>
  <c r="L14" i="38"/>
  <c r="I14" i="38"/>
  <c r="E14" i="38"/>
  <c r="P14" i="38"/>
  <c r="P15" i="38" l="1"/>
  <c r="O15" i="38"/>
  <c r="N15" i="38"/>
  <c r="M15" i="38"/>
  <c r="L15" i="38"/>
  <c r="K15" i="38"/>
  <c r="J15" i="38"/>
  <c r="I15" i="38"/>
  <c r="H15" i="38"/>
  <c r="G15" i="38"/>
  <c r="F15" i="38"/>
  <c r="E15" i="38"/>
  <c r="P18" i="38"/>
  <c r="O18" i="38"/>
  <c r="N18" i="38"/>
  <c r="M18" i="38"/>
  <c r="L18" i="38"/>
  <c r="K18" i="38"/>
  <c r="J18" i="38"/>
  <c r="I18" i="38"/>
  <c r="H18" i="38"/>
  <c r="G18" i="38"/>
  <c r="F18" i="38"/>
  <c r="E18" i="38"/>
  <c r="D18" i="38"/>
  <c r="P32" i="38" l="1"/>
  <c r="O32" i="38"/>
  <c r="O60" i="38" s="1"/>
  <c r="N32" i="38"/>
  <c r="M32" i="38"/>
  <c r="M60" i="38" s="1"/>
  <c r="L32" i="38"/>
  <c r="K32" i="38"/>
  <c r="J32" i="38"/>
  <c r="I32" i="38"/>
  <c r="I60" i="38" s="1"/>
  <c r="H32" i="38"/>
  <c r="H60" i="38" s="1"/>
  <c r="G60" i="38"/>
  <c r="F32" i="38"/>
  <c r="E32" i="38"/>
  <c r="E60" i="38" s="1"/>
  <c r="D32" i="38"/>
  <c r="Q31" i="38"/>
  <c r="P54" i="43" s="1"/>
  <c r="Q30" i="38"/>
  <c r="P53" i="43" s="1"/>
  <c r="Q28" i="38"/>
  <c r="P51" i="43" s="1"/>
  <c r="Q27" i="38"/>
  <c r="P50" i="43" s="1"/>
  <c r="Q26" i="38"/>
  <c r="P49" i="43" s="1"/>
  <c r="Q25" i="38"/>
  <c r="P48" i="43" s="1"/>
  <c r="N17" i="38"/>
  <c r="Q14" i="38"/>
  <c r="C6" i="42" s="1"/>
  <c r="P12" i="38"/>
  <c r="O17" i="38"/>
  <c r="N12" i="38"/>
  <c r="M17" i="38"/>
  <c r="L17" i="38"/>
  <c r="K12" i="38"/>
  <c r="J17" i="38"/>
  <c r="I17" i="38"/>
  <c r="I12" i="38"/>
  <c r="H17" i="38"/>
  <c r="F12" i="38"/>
  <c r="E12" i="38"/>
  <c r="L41" i="41"/>
  <c r="F41" i="41"/>
  <c r="D41" i="41"/>
  <c r="E41" i="41" s="1"/>
  <c r="L40" i="41"/>
  <c r="F40" i="41"/>
  <c r="D40" i="41"/>
  <c r="E40" i="41" s="1"/>
  <c r="L39" i="41"/>
  <c r="F39" i="41"/>
  <c r="D39" i="41"/>
  <c r="E39" i="41" s="1"/>
  <c r="L38" i="41"/>
  <c r="F38" i="41"/>
  <c r="D38" i="41"/>
  <c r="E38" i="41" s="1"/>
  <c r="L37" i="41"/>
  <c r="F37" i="41"/>
  <c r="D37" i="41"/>
  <c r="E37" i="41" s="1"/>
  <c r="L36" i="41"/>
  <c r="F36" i="41"/>
  <c r="D36" i="41"/>
  <c r="E36" i="41" s="1"/>
  <c r="L35" i="41"/>
  <c r="F35" i="41"/>
  <c r="D35" i="41"/>
  <c r="E35" i="41" s="1"/>
  <c r="L34" i="41"/>
  <c r="F34" i="41"/>
  <c r="D34" i="41"/>
  <c r="E34" i="41" s="1"/>
  <c r="L33" i="41"/>
  <c r="F33" i="41"/>
  <c r="D33" i="41"/>
  <c r="E33" i="41" s="1"/>
  <c r="L32" i="41"/>
  <c r="F32" i="41"/>
  <c r="D32" i="41"/>
  <c r="E32" i="41" s="1"/>
  <c r="L31" i="41"/>
  <c r="F31" i="41"/>
  <c r="D31" i="41"/>
  <c r="E31" i="41" s="1"/>
  <c r="L30" i="41"/>
  <c r="F30" i="41"/>
  <c r="D30" i="41"/>
  <c r="E30" i="41" s="1"/>
  <c r="L29" i="41"/>
  <c r="F29" i="41"/>
  <c r="D29" i="41"/>
  <c r="E29" i="41" s="1"/>
  <c r="L28" i="41"/>
  <c r="F28" i="41"/>
  <c r="D28" i="41"/>
  <c r="E28" i="41" s="1"/>
  <c r="V18" i="41"/>
  <c r="U18" i="41"/>
  <c r="M18" i="41"/>
  <c r="L18" i="41"/>
  <c r="K18" i="41"/>
  <c r="J18" i="41"/>
  <c r="G18" i="41"/>
  <c r="F18" i="41"/>
  <c r="E18" i="41"/>
  <c r="D18" i="41"/>
  <c r="P17" i="41"/>
  <c r="N17" i="41"/>
  <c r="Q17" i="41" s="1"/>
  <c r="P16" i="41"/>
  <c r="I16" i="41"/>
  <c r="I18" i="41" s="1"/>
  <c r="H16" i="41"/>
  <c r="P15" i="41"/>
  <c r="N15" i="41"/>
  <c r="Q15" i="41" s="1"/>
  <c r="P14" i="41"/>
  <c r="N14" i="41"/>
  <c r="Q14" i="41" s="1"/>
  <c r="P13" i="41"/>
  <c r="N13" i="41"/>
  <c r="O13" i="41" s="1"/>
  <c r="P12" i="41"/>
  <c r="H12" i="41"/>
  <c r="P11" i="41"/>
  <c r="N11" i="41"/>
  <c r="O11" i="41" s="1"/>
  <c r="P10" i="41"/>
  <c r="N10" i="41"/>
  <c r="P9" i="41"/>
  <c r="N9" i="41"/>
  <c r="O9" i="41" s="1"/>
  <c r="P8" i="41"/>
  <c r="N8" i="41"/>
  <c r="Q8" i="41" s="1"/>
  <c r="P7" i="41"/>
  <c r="N7" i="41"/>
  <c r="Q7" i="41" s="1"/>
  <c r="P6" i="41"/>
  <c r="N6" i="41"/>
  <c r="O6" i="41" s="1"/>
  <c r="P5" i="41"/>
  <c r="N5" i="41"/>
  <c r="Q5" i="41" s="1"/>
  <c r="P4" i="41"/>
  <c r="N4" i="41"/>
  <c r="P1" i="41"/>
  <c r="Q14" i="37"/>
  <c r="Q13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D3" i="37"/>
  <c r="C48" i="41"/>
  <c r="K41" i="43"/>
  <c r="F41" i="43"/>
  <c r="D41" i="43"/>
  <c r="E41" i="43" s="1"/>
  <c r="K40" i="43"/>
  <c r="F40" i="43"/>
  <c r="D40" i="43"/>
  <c r="E40" i="43" s="1"/>
  <c r="K39" i="43"/>
  <c r="F39" i="43"/>
  <c r="D39" i="43"/>
  <c r="E39" i="43" s="1"/>
  <c r="K38" i="43"/>
  <c r="F38" i="43"/>
  <c r="D38" i="43"/>
  <c r="E38" i="43" s="1"/>
  <c r="K37" i="43"/>
  <c r="F37" i="43"/>
  <c r="D37" i="43"/>
  <c r="E37" i="43" s="1"/>
  <c r="K36" i="43"/>
  <c r="F36" i="43"/>
  <c r="D36" i="43"/>
  <c r="E36" i="43" s="1"/>
  <c r="K35" i="43"/>
  <c r="F35" i="43"/>
  <c r="D35" i="43"/>
  <c r="E35" i="43" s="1"/>
  <c r="K34" i="43"/>
  <c r="F34" i="43"/>
  <c r="D34" i="43"/>
  <c r="E34" i="43" s="1"/>
  <c r="K33" i="43"/>
  <c r="F33" i="43"/>
  <c r="D33" i="43"/>
  <c r="E33" i="43" s="1"/>
  <c r="K32" i="43"/>
  <c r="F32" i="43"/>
  <c r="D32" i="43"/>
  <c r="E32" i="43" s="1"/>
  <c r="K31" i="43"/>
  <c r="F31" i="43"/>
  <c r="D31" i="43"/>
  <c r="E31" i="43" s="1"/>
  <c r="K30" i="43"/>
  <c r="F30" i="43"/>
  <c r="D30" i="43"/>
  <c r="E30" i="43" s="1"/>
  <c r="K29" i="43"/>
  <c r="F29" i="43"/>
  <c r="D29" i="43"/>
  <c r="E29" i="43" s="1"/>
  <c r="K28" i="43"/>
  <c r="F28" i="43"/>
  <c r="D28" i="43"/>
  <c r="U18" i="43"/>
  <c r="O18" i="43"/>
  <c r="L18" i="43"/>
  <c r="K18" i="43"/>
  <c r="J18" i="43"/>
  <c r="G18" i="43"/>
  <c r="F18" i="43"/>
  <c r="E18" i="43"/>
  <c r="D18" i="43"/>
  <c r="O17" i="43"/>
  <c r="M17" i="43"/>
  <c r="P17" i="43" s="1"/>
  <c r="O16" i="43"/>
  <c r="I16" i="43"/>
  <c r="I18" i="43" s="1"/>
  <c r="H16" i="43"/>
  <c r="O15" i="43"/>
  <c r="M15" i="43"/>
  <c r="N15" i="43" s="1"/>
  <c r="O14" i="43"/>
  <c r="M14" i="43"/>
  <c r="N14" i="43" s="1"/>
  <c r="O13" i="43"/>
  <c r="M13" i="43"/>
  <c r="P13" i="43" s="1"/>
  <c r="O12" i="43"/>
  <c r="H12" i="43"/>
  <c r="O11" i="43"/>
  <c r="M11" i="43"/>
  <c r="N11" i="43" s="1"/>
  <c r="O10" i="43"/>
  <c r="M10" i="43"/>
  <c r="N10" i="43" s="1"/>
  <c r="O9" i="43"/>
  <c r="M9" i="43"/>
  <c r="P9" i="43" s="1"/>
  <c r="O8" i="43"/>
  <c r="M8" i="43"/>
  <c r="N8" i="43" s="1"/>
  <c r="O7" i="43"/>
  <c r="M7" i="43"/>
  <c r="O6" i="43"/>
  <c r="M6" i="43"/>
  <c r="P6" i="43" s="1"/>
  <c r="O5" i="43"/>
  <c r="M5" i="43"/>
  <c r="O4" i="43"/>
  <c r="M4" i="43"/>
  <c r="O1" i="43"/>
  <c r="P48" i="41"/>
  <c r="O48" i="41"/>
  <c r="N48" i="41"/>
  <c r="M48" i="41"/>
  <c r="L48" i="41"/>
  <c r="J48" i="41"/>
  <c r="I48" i="41"/>
  <c r="H48" i="41"/>
  <c r="G48" i="41"/>
  <c r="E48" i="41"/>
  <c r="D48" i="41"/>
  <c r="D29" i="37" l="1"/>
  <c r="N16" i="41"/>
  <c r="R15" i="41"/>
  <c r="R17" i="41"/>
  <c r="H18" i="43"/>
  <c r="O5" i="41"/>
  <c r="R8" i="41"/>
  <c r="O15" i="41"/>
  <c r="Q11" i="41"/>
  <c r="R11" i="41" s="1"/>
  <c r="O14" i="41"/>
  <c r="N9" i="43"/>
  <c r="R7" i="41"/>
  <c r="Q9" i="41"/>
  <c r="R9" i="41" s="1"/>
  <c r="H18" i="41"/>
  <c r="R5" i="41"/>
  <c r="P18" i="41"/>
  <c r="R14" i="41"/>
  <c r="M16" i="43"/>
  <c r="N16" i="43" s="1"/>
  <c r="Q16" i="41"/>
  <c r="R16" i="41" s="1"/>
  <c r="O16" i="41"/>
  <c r="O8" i="41"/>
  <c r="P10" i="43"/>
  <c r="O7" i="41"/>
  <c r="O17" i="41"/>
  <c r="D30" i="37"/>
  <c r="Q16" i="37"/>
  <c r="Q15" i="37"/>
  <c r="I61" i="38"/>
  <c r="I63" i="38" s="1"/>
  <c r="H61" i="38"/>
  <c r="H63" i="38" s="1"/>
  <c r="O61" i="38"/>
  <c r="O63" i="38" s="1"/>
  <c r="E61" i="38"/>
  <c r="E63" i="38" s="1"/>
  <c r="M61" i="38"/>
  <c r="M63" i="38" s="1"/>
  <c r="G61" i="38"/>
  <c r="G63" i="38" s="1"/>
  <c r="J60" i="38"/>
  <c r="N60" i="38"/>
  <c r="F60" i="38"/>
  <c r="M12" i="38"/>
  <c r="J12" i="38"/>
  <c r="H12" i="38"/>
  <c r="D12" i="38"/>
  <c r="O12" i="38"/>
  <c r="K48" i="41"/>
  <c r="N6" i="43"/>
  <c r="N4" i="43"/>
  <c r="P4" i="43"/>
  <c r="N7" i="43"/>
  <c r="P7" i="43"/>
  <c r="P5" i="43"/>
  <c r="N5" i="43"/>
  <c r="D42" i="43"/>
  <c r="E42" i="43" s="1"/>
  <c r="E28" i="43"/>
  <c r="Q10" i="41"/>
  <c r="R10" i="41" s="1"/>
  <c r="O10" i="41"/>
  <c r="P60" i="38"/>
  <c r="K60" i="38"/>
  <c r="Q4" i="41"/>
  <c r="R4" i="41" s="1"/>
  <c r="O4" i="41"/>
  <c r="F42" i="41"/>
  <c r="Q12" i="37"/>
  <c r="R14" i="37" s="1"/>
  <c r="M12" i="43"/>
  <c r="N12" i="43" s="1"/>
  <c r="G17" i="38"/>
  <c r="Q6" i="41"/>
  <c r="R6" i="41" s="1"/>
  <c r="Q13" i="41"/>
  <c r="R13" i="41" s="1"/>
  <c r="Q21" i="38"/>
  <c r="C6" i="33" s="1"/>
  <c r="Q22" i="38"/>
  <c r="C7" i="33" s="1"/>
  <c r="F17" i="38"/>
  <c r="L12" i="38"/>
  <c r="Q13" i="38"/>
  <c r="C5" i="42" s="1"/>
  <c r="Q19" i="38"/>
  <c r="C4" i="33" s="1"/>
  <c r="Q20" i="38"/>
  <c r="C5" i="33" s="1"/>
  <c r="E17" i="38"/>
  <c r="K17" i="38"/>
  <c r="P17" i="38"/>
  <c r="Q24" i="38"/>
  <c r="P47" i="43" s="1"/>
  <c r="N12" i="41"/>
  <c r="N18" i="41" s="1"/>
  <c r="D42" i="41"/>
  <c r="E42" i="41" s="1"/>
  <c r="Q18" i="38"/>
  <c r="C3" i="33" s="1"/>
  <c r="D17" i="38"/>
  <c r="D60" i="38"/>
  <c r="I55" i="43"/>
  <c r="N55" i="43"/>
  <c r="O55" i="43"/>
  <c r="J55" i="43"/>
  <c r="H55" i="43"/>
  <c r="M55" i="43"/>
  <c r="E55" i="43"/>
  <c r="L55" i="43"/>
  <c r="K55" i="43"/>
  <c r="G55" i="43"/>
  <c r="D55" i="43"/>
  <c r="C55" i="43"/>
  <c r="F55" i="43"/>
  <c r="P8" i="43"/>
  <c r="P11" i="43"/>
  <c r="F42" i="43"/>
  <c r="N13" i="43"/>
  <c r="P14" i="43"/>
  <c r="N17" i="43"/>
  <c r="P15" i="43"/>
  <c r="F48" i="41"/>
  <c r="L60" i="38"/>
  <c r="I52" i="41"/>
  <c r="K52" i="41"/>
  <c r="H52" i="41"/>
  <c r="P52" i="41"/>
  <c r="G52" i="41"/>
  <c r="M52" i="41"/>
  <c r="E52" i="41"/>
  <c r="F52" i="41"/>
  <c r="L52" i="41"/>
  <c r="N52" i="41"/>
  <c r="J52" i="41"/>
  <c r="P16" i="43" l="1"/>
  <c r="Q32" i="38"/>
  <c r="C47" i="37"/>
  <c r="E47" i="37" s="1"/>
  <c r="M18" i="43"/>
  <c r="K19" i="43" s="1"/>
  <c r="P12" i="43"/>
  <c r="H6" i="37"/>
  <c r="H9" i="37" s="1"/>
  <c r="H22" i="37" s="1"/>
  <c r="H65" i="38"/>
  <c r="C53" i="37"/>
  <c r="C48" i="37"/>
  <c r="C46" i="37"/>
  <c r="E46" i="37" s="1"/>
  <c r="C52" i="37"/>
  <c r="C56" i="37"/>
  <c r="C45" i="37"/>
  <c r="C50" i="37"/>
  <c r="C55" i="37"/>
  <c r="C57" i="37"/>
  <c r="C51" i="37"/>
  <c r="I65" i="38"/>
  <c r="I6" i="37"/>
  <c r="N61" i="38"/>
  <c r="N63" i="38" s="1"/>
  <c r="P61" i="38"/>
  <c r="P63" i="38" s="1"/>
  <c r="J61" i="38"/>
  <c r="J63" i="38" s="1"/>
  <c r="L61" i="38"/>
  <c r="L63" i="38" s="1"/>
  <c r="K61" i="38"/>
  <c r="K63" i="38" s="1"/>
  <c r="O65" i="38"/>
  <c r="O6" i="37"/>
  <c r="E65" i="38"/>
  <c r="E6" i="37"/>
  <c r="D61" i="38"/>
  <c r="D63" i="38" s="1"/>
  <c r="M6" i="37"/>
  <c r="M65" i="38"/>
  <c r="G6" i="37"/>
  <c r="G65" i="38"/>
  <c r="F61" i="38"/>
  <c r="F63" i="38" s="1"/>
  <c r="G12" i="38"/>
  <c r="Q18" i="41"/>
  <c r="R18" i="41" s="1"/>
  <c r="O18" i="41"/>
  <c r="J19" i="41"/>
  <c r="D19" i="41"/>
  <c r="H19" i="41"/>
  <c r="G19" i="41"/>
  <c r="M19" i="41"/>
  <c r="E19" i="41"/>
  <c r="L19" i="41"/>
  <c r="F19" i="41"/>
  <c r="K19" i="41"/>
  <c r="I19" i="41"/>
  <c r="Q17" i="38"/>
  <c r="Q12" i="41"/>
  <c r="R12" i="41" s="1"/>
  <c r="O12" i="41"/>
  <c r="C59" i="37"/>
  <c r="C60" i="37"/>
  <c r="C8" i="33"/>
  <c r="Q4" i="36" s="1"/>
  <c r="Q15" i="38"/>
  <c r="C7" i="42" s="1"/>
  <c r="D52" i="41"/>
  <c r="O52" i="41"/>
  <c r="H8" i="37" l="1"/>
  <c r="H18" i="37" s="1"/>
  <c r="P55" i="43"/>
  <c r="Q6" i="36" s="1"/>
  <c r="P18" i="43"/>
  <c r="E59" i="37"/>
  <c r="E55" i="37"/>
  <c r="E57" i="37"/>
  <c r="E56" i="37"/>
  <c r="E60" i="37"/>
  <c r="I19" i="43"/>
  <c r="D19" i="43"/>
  <c r="H19" i="43"/>
  <c r="F19" i="43"/>
  <c r="J19" i="43"/>
  <c r="L19" i="43"/>
  <c r="E19" i="43"/>
  <c r="N18" i="43"/>
  <c r="G19" i="43"/>
  <c r="E53" i="37"/>
  <c r="E50" i="37"/>
  <c r="L6" i="37"/>
  <c r="L8" i="37" s="1"/>
  <c r="L18" i="37" s="1"/>
  <c r="P65" i="38"/>
  <c r="P6" i="37"/>
  <c r="P9" i="37" s="1"/>
  <c r="P22" i="37" s="1"/>
  <c r="E52" i="37"/>
  <c r="E51" i="37"/>
  <c r="H23" i="37"/>
  <c r="E48" i="37"/>
  <c r="E45" i="37"/>
  <c r="M8" i="37"/>
  <c r="M9" i="37"/>
  <c r="M22" i="37" s="1"/>
  <c r="E8" i="37"/>
  <c r="E9" i="37"/>
  <c r="E22" i="37" s="1"/>
  <c r="I8" i="37"/>
  <c r="I9" i="37"/>
  <c r="I22" i="37" s="1"/>
  <c r="G8" i="37"/>
  <c r="G9" i="37"/>
  <c r="G22" i="37" s="1"/>
  <c r="O8" i="37"/>
  <c r="O9" i="37"/>
  <c r="O22" i="37" s="1"/>
  <c r="K65" i="38"/>
  <c r="K6" i="37"/>
  <c r="K8" i="37" s="1"/>
  <c r="K18" i="37" s="1"/>
  <c r="J65" i="38"/>
  <c r="J6" i="37"/>
  <c r="N6" i="37"/>
  <c r="N65" i="38"/>
  <c r="L65" i="38"/>
  <c r="D65" i="38"/>
  <c r="D6" i="37"/>
  <c r="F6" i="37"/>
  <c r="F65" i="38"/>
  <c r="Q60" i="38"/>
  <c r="Q12" i="38"/>
  <c r="C4" i="42" s="1"/>
  <c r="N19" i="41"/>
  <c r="C52" i="41"/>
  <c r="Q7" i="36" l="1"/>
  <c r="Q48" i="41" s="1"/>
  <c r="H19" i="37"/>
  <c r="L9" i="37"/>
  <c r="L22" i="37" s="1"/>
  <c r="E40" i="37"/>
  <c r="E41" i="37"/>
  <c r="P8" i="37"/>
  <c r="M19" i="43"/>
  <c r="H24" i="37"/>
  <c r="L19" i="37"/>
  <c r="E39" i="37"/>
  <c r="P23" i="37"/>
  <c r="O23" i="37"/>
  <c r="G23" i="37"/>
  <c r="M23" i="37"/>
  <c r="I23" i="37"/>
  <c r="E23" i="37"/>
  <c r="E38" i="37"/>
  <c r="O18" i="37"/>
  <c r="G18" i="37"/>
  <c r="M18" i="37"/>
  <c r="P18" i="37"/>
  <c r="I18" i="37"/>
  <c r="E18" i="37"/>
  <c r="N8" i="37"/>
  <c r="N18" i="37" s="1"/>
  <c r="N9" i="37"/>
  <c r="N22" i="37" s="1"/>
  <c r="K9" i="37"/>
  <c r="K22" i="37" s="1"/>
  <c r="F8" i="37"/>
  <c r="F18" i="37" s="1"/>
  <c r="F9" i="37"/>
  <c r="F22" i="37" s="1"/>
  <c r="J8" i="37"/>
  <c r="J9" i="37"/>
  <c r="J22" i="37" s="1"/>
  <c r="D8" i="37"/>
  <c r="D18" i="37" s="1"/>
  <c r="D9" i="37"/>
  <c r="D22" i="37" s="1"/>
  <c r="Q61" i="38"/>
  <c r="Q63" i="38" s="1"/>
  <c r="H20" i="37" l="1"/>
  <c r="D19" i="37"/>
  <c r="L23" i="37"/>
  <c r="L24" i="37" s="1"/>
  <c r="L20" i="37"/>
  <c r="I24" i="37"/>
  <c r="O24" i="37"/>
  <c r="E24" i="37"/>
  <c r="G24" i="37"/>
  <c r="M24" i="37"/>
  <c r="P24" i="37"/>
  <c r="E42" i="37"/>
  <c r="E43" i="37" s="1"/>
  <c r="E61" i="37"/>
  <c r="D23" i="37"/>
  <c r="J23" i="37"/>
  <c r="K23" i="37"/>
  <c r="F23" i="37"/>
  <c r="N23" i="37"/>
  <c r="F19" i="37"/>
  <c r="N19" i="37"/>
  <c r="I19" i="37"/>
  <c r="G19" i="37"/>
  <c r="O19" i="37"/>
  <c r="M19" i="37"/>
  <c r="J18" i="37"/>
  <c r="E19" i="37"/>
  <c r="P19" i="37"/>
  <c r="Q6" i="37"/>
  <c r="Q65" i="38"/>
  <c r="H26" i="37" l="1"/>
  <c r="G50" i="41" s="1"/>
  <c r="G54" i="41" s="1"/>
  <c r="D20" i="37"/>
  <c r="D31" i="37"/>
  <c r="Q51" i="41" s="1"/>
  <c r="P20" i="37"/>
  <c r="P26" i="37" s="1"/>
  <c r="O20" i="37"/>
  <c r="N20" i="37"/>
  <c r="F24" i="37"/>
  <c r="L26" i="37"/>
  <c r="L50" i="41" s="1"/>
  <c r="L54" i="41" s="1"/>
  <c r="F20" i="37"/>
  <c r="K24" i="37"/>
  <c r="D24" i="37"/>
  <c r="E20" i="37"/>
  <c r="M20" i="37"/>
  <c r="N24" i="37"/>
  <c r="G20" i="37"/>
  <c r="J24" i="37"/>
  <c r="I20" i="37"/>
  <c r="K19" i="37"/>
  <c r="J19" i="37"/>
  <c r="Q8" i="37"/>
  <c r="Q9" i="37"/>
  <c r="Q22" i="37" s="1"/>
  <c r="Q24" i="37" l="1"/>
  <c r="D26" i="37"/>
  <c r="C50" i="41" s="1"/>
  <c r="C54" i="41" s="1"/>
  <c r="M26" i="37"/>
  <c r="C34" i="37"/>
  <c r="E26" i="37"/>
  <c r="P50" i="41"/>
  <c r="P54" i="41" s="1"/>
  <c r="F26" i="37"/>
  <c r="E50" i="41" s="1"/>
  <c r="E54" i="41" s="1"/>
  <c r="O26" i="37"/>
  <c r="I26" i="37"/>
  <c r="H50" i="41" s="1"/>
  <c r="H54" i="41" s="1"/>
  <c r="J20" i="37"/>
  <c r="G26" i="37"/>
  <c r="F50" i="41" s="1"/>
  <c r="F54" i="41" s="1"/>
  <c r="N26" i="37"/>
  <c r="N50" i="41" s="1"/>
  <c r="N54" i="41" s="1"/>
  <c r="K20" i="37"/>
  <c r="Q23" i="37"/>
  <c r="Q18" i="37"/>
  <c r="K50" i="41"/>
  <c r="K54" i="41" s="1"/>
  <c r="Q20" i="37" l="1"/>
  <c r="K26" i="37"/>
  <c r="J50" i="41" s="1"/>
  <c r="J54" i="41" s="1"/>
  <c r="J26" i="37"/>
  <c r="D50" i="41"/>
  <c r="D54" i="41" s="1"/>
  <c r="O50" i="41"/>
  <c r="O54" i="41" s="1"/>
  <c r="M50" i="41"/>
  <c r="M54" i="41" s="1"/>
  <c r="Q19" i="37"/>
  <c r="Q26" i="37" l="1"/>
  <c r="I50" i="41"/>
  <c r="I54" i="41" s="1"/>
  <c r="Q50" i="41" l="1"/>
  <c r="Q54" i="41" s="1"/>
  <c r="V50" i="41" s="1"/>
  <c r="C33" i="37"/>
  <c r="C35" i="37" l="1"/>
  <c r="D34" i="37" s="1"/>
  <c r="K47" i="41"/>
  <c r="K49" i="41" s="1"/>
  <c r="K55" i="41" s="1"/>
  <c r="D33" i="37" l="1"/>
  <c r="Q16" i="38"/>
  <c r="C8" i="42" s="1"/>
  <c r="C9" i="42" s="1"/>
  <c r="Q3" i="36" s="1"/>
  <c r="Q5" i="36" s="1"/>
  <c r="Q8" i="36" l="1"/>
  <c r="Q47" i="41"/>
  <c r="E16" i="38"/>
  <c r="K16" i="38"/>
  <c r="P16" i="38"/>
  <c r="O16" i="38"/>
  <c r="J16" i="38"/>
  <c r="D16" i="38"/>
  <c r="I16" i="38"/>
  <c r="N16" i="38"/>
  <c r="H16" i="38"/>
  <c r="Q10" i="38"/>
  <c r="Q23" i="38" s="1"/>
  <c r="G16" i="38"/>
  <c r="L16" i="38"/>
  <c r="F16" i="38"/>
  <c r="M16" i="38"/>
  <c r="Q49" i="41" l="1"/>
  <c r="G10" i="38"/>
  <c r="G23" i="38" s="1"/>
  <c r="I10" i="38"/>
  <c r="I23" i="38" s="1"/>
  <c r="E10" i="38"/>
  <c r="E23" i="38" s="1"/>
  <c r="L10" i="38"/>
  <c r="L23" i="38" s="1"/>
  <c r="N10" i="38"/>
  <c r="N23" i="38" s="1"/>
  <c r="K10" i="38"/>
  <c r="K23" i="38" s="1"/>
  <c r="F10" i="38"/>
  <c r="F23" i="38" s="1"/>
  <c r="H10" i="38"/>
  <c r="H23" i="38" s="1"/>
  <c r="J10" i="38"/>
  <c r="J23" i="38" s="1"/>
  <c r="P10" i="38"/>
  <c r="P23" i="38" s="1"/>
  <c r="M10" i="38"/>
  <c r="M23" i="38" s="1"/>
  <c r="D51" i="38"/>
  <c r="Q33" i="38"/>
  <c r="D10" i="38"/>
  <c r="D23" i="38" s="1"/>
  <c r="O10" i="38"/>
  <c r="O23" i="38" s="1"/>
  <c r="O33" i="38" l="1"/>
  <c r="N33" i="38"/>
  <c r="G33" i="38"/>
  <c r="D52" i="38"/>
  <c r="D53" i="38"/>
  <c r="D54" i="38" s="1"/>
  <c r="D56" i="38" s="1"/>
  <c r="J33" i="38"/>
  <c r="H33" i="38"/>
  <c r="K33" i="38"/>
  <c r="D33" i="38"/>
  <c r="F33" i="38"/>
  <c r="L33" i="38"/>
  <c r="I33" i="38"/>
  <c r="M33" i="38"/>
  <c r="P33" i="38"/>
  <c r="E33" i="38"/>
  <c r="G47" i="41" l="1"/>
  <c r="G49" i="41" s="1"/>
  <c r="G55" i="41" s="1"/>
  <c r="E47" i="41"/>
  <c r="E49" i="41" s="1"/>
  <c r="E55" i="41" s="1"/>
  <c r="I47" i="41"/>
  <c r="I49" i="41" s="1"/>
  <c r="I55" i="41" s="1"/>
  <c r="D47" i="41"/>
  <c r="D49" i="41" s="1"/>
  <c r="D55" i="41" s="1"/>
  <c r="L47" i="41"/>
  <c r="L49" i="41" s="1"/>
  <c r="L55" i="41" s="1"/>
  <c r="C47" i="41"/>
  <c r="C49" i="41" s="1"/>
  <c r="C55" i="41" s="1"/>
  <c r="H47" i="41"/>
  <c r="H49" i="41" s="1"/>
  <c r="H55" i="41" s="1"/>
  <c r="N47" i="41"/>
  <c r="N49" i="41" s="1"/>
  <c r="N55" i="41" s="1"/>
  <c r="J47" i="41"/>
  <c r="J49" i="41" s="1"/>
  <c r="J55" i="41" s="1"/>
  <c r="F47" i="41"/>
  <c r="F49" i="41" s="1"/>
  <c r="F55" i="41" s="1"/>
  <c r="O47" i="41"/>
  <c r="O49" i="41" s="1"/>
  <c r="O55" i="41" s="1"/>
  <c r="P47" i="41"/>
  <c r="P49" i="41" s="1"/>
  <c r="P55" i="41" s="1"/>
  <c r="M47" i="41"/>
  <c r="M49" i="41" s="1"/>
  <c r="M55" i="41" s="1"/>
  <c r="Q55" i="4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practiques.mambient</author>
    <author>.</author>
  </authors>
  <commentList>
    <comment ref="D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Hem suposat el cost rebuig 2024+cost GEH+ 10% increment.</t>
        </r>
      </text>
    </comment>
    <comment ref="A61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Modificat (abans 90%)</t>
        </r>
      </text>
    </comment>
    <comment ref="A6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Modificat amb el nombre d'habitatges en data 1r trimestre 2024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A19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.:</t>
        </r>
        <r>
          <rPr>
            <sz val="8"/>
            <color indexed="81"/>
            <rFont val="Tahoma"/>
            <family val="2"/>
          </rPr>
          <t xml:space="preserve">
Apliquem descompte del 30%</t>
        </r>
      </text>
    </comment>
    <comment ref="A23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.:</t>
        </r>
        <r>
          <rPr>
            <sz val="8"/>
            <color indexed="81"/>
            <rFont val="Tahoma"/>
            <family val="2"/>
          </rPr>
          <t xml:space="preserve">
Apliquem descompte del 30%</t>
        </r>
      </text>
    </comment>
    <comment ref="A58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A la part de deixalleria hem tingut en compte el total dels habitatges perquè els habitatges AT només tindran de part variable de la seva participació a la deixalleria.</t>
        </r>
      </text>
    </comment>
  </commentList>
</comments>
</file>

<file path=xl/sharedStrings.xml><?xml version="1.0" encoding="utf-8"?>
<sst xmlns="http://schemas.openxmlformats.org/spreadsheetml/2006/main" count="554" uniqueCount="265">
  <si>
    <t>COST TRACTAMENT FORM 2024</t>
  </si>
  <si>
    <t>IMPROPIS FORM</t>
  </si>
  <si>
    <t>&lt;5</t>
  </si>
  <si>
    <t>PREVISIÓ COST TRACTAMENT RESTA 2025</t>
  </si>
  <si>
    <t>ESTIMACIÓ DESPESES 2025</t>
  </si>
  <si>
    <t>AIGUAVIVA</t>
  </si>
  <si>
    <t>BESCANÓ</t>
  </si>
  <si>
    <t>BORDILS</t>
  </si>
  <si>
    <t>CAMPLLONG</t>
  </si>
  <si>
    <t>CERVIÀ DE TER</t>
  </si>
  <si>
    <t>FLAÇÀ</t>
  </si>
  <si>
    <t>FORNELLS DE LA SELVA</t>
  </si>
  <si>
    <t>JUIÀ</t>
  </si>
  <si>
    <t>QUART</t>
  </si>
  <si>
    <t>SANT GREGORI</t>
  </si>
  <si>
    <t>SANT JOAN DE MOLLET</t>
  </si>
  <si>
    <t>SANT JULIÀ DE RAMIS</t>
  </si>
  <si>
    <t>SARRIÀ DE TER</t>
  </si>
  <si>
    <t>TOTAL</t>
  </si>
  <si>
    <t>PART FIXA</t>
  </si>
  <si>
    <t>GLOBAL</t>
  </si>
  <si>
    <t>DESPESES (IVA INCLÒS)</t>
  </si>
  <si>
    <t>COST RECOLLIDA PAP</t>
  </si>
  <si>
    <t>GESTIÓ CC RECOLLIDA PAP</t>
  </si>
  <si>
    <t>AMPLIACIONS SERVEI PAP (Nº habitatges)</t>
  </si>
  <si>
    <t>ESTIMACIÓ COST TRACTAMENT RESTA (inclou resta de les extres)</t>
  </si>
  <si>
    <t>ESTIMACIÓ COST TRACTAMENT FORM</t>
  </si>
  <si>
    <t>DESPESES GESTIÓ I RECAPTACIÓ TAXA COMARCAL</t>
  </si>
  <si>
    <t>INGRESSOS (SENSE IVA)</t>
  </si>
  <si>
    <t>RETORN DEL CÀNON</t>
  </si>
  <si>
    <t>VENDA PiC</t>
  </si>
  <si>
    <t>RETORN PiC - ECOEMBES</t>
  </si>
  <si>
    <t>RETORN ENVASOS - ECOMEBES</t>
  </si>
  <si>
    <t>RETORN VIDRE - ECOVIDRIO</t>
  </si>
  <si>
    <t>INGRESSOS (SENSE IVA) - DESPESES PART COMARCAL</t>
  </si>
  <si>
    <t>ESPECÍFICA</t>
  </si>
  <si>
    <t>COST RECOLLIDA VOLUMINOSOS (inclou despeses gestió CC)</t>
  </si>
  <si>
    <t xml:space="preserve">COST RECOLLIDA FV </t>
  </si>
  <si>
    <t>COST TRACTAMENT FV</t>
  </si>
  <si>
    <t>COST TRACTAMENT VOLUMINOSOS</t>
  </si>
  <si>
    <t>DEIXALLERIA (inclou despeses gestió CC)</t>
  </si>
  <si>
    <t>DEIXALLERIA MÒBIL (inclou despeses CCG)</t>
  </si>
  <si>
    <t>COST RECOLLIDA OLI VEGETAL USAT (inclou despeses gestió CC)</t>
  </si>
  <si>
    <t>COSTOS SERVEIS EXTRES + BOSSES COMPOSTABLES (estimació feta en base al 23)</t>
  </si>
  <si>
    <t>DESPESES PART MUNICIPAL</t>
  </si>
  <si>
    <t>TOTAL BALANÇ (ABANS TAXA)</t>
  </si>
  <si>
    <t>PART VARIABLE</t>
  </si>
  <si>
    <t>La part variable és comuna per a tots els municipis i depen exclusivament de:</t>
  </si>
  <si>
    <t>El comportament dels habitatges amb la recollida PAP</t>
  </si>
  <si>
    <t>Ús deixalleria</t>
  </si>
  <si>
    <t>Ús compostador</t>
  </si>
  <si>
    <t>ESTIMACIÓ PART FIXA GLOBAL DOMÈSTICA</t>
  </si>
  <si>
    <t>BALANÇ TOTAL A REPERCUTIR A TAXA</t>
  </si>
  <si>
    <t xml:space="preserve"> (18%) BALANÇ COMERCIAL A TAXA </t>
  </si>
  <si>
    <t xml:space="preserve">(82%) BALANÇ DOMÈSTIC A TAXA </t>
  </si>
  <si>
    <t xml:space="preserve"> BALANÇ DOMÈSTIC A TAXA PART FIXA</t>
  </si>
  <si>
    <t>,85% del total</t>
  </si>
  <si>
    <t>Nº HABITATGES</t>
  </si>
  <si>
    <t>95% habitatges pagats</t>
  </si>
  <si>
    <t>PAP</t>
  </si>
  <si>
    <t>AT</t>
  </si>
  <si>
    <t>PART FIXA GLOBAL</t>
  </si>
  <si>
    <t>ESTIMACIÓ PART FIXA ESPECÍFICA DOMÈSTICA</t>
  </si>
  <si>
    <t>BALANÇ DOMÈSTIC A TAXA</t>
  </si>
  <si>
    <t>BALANÇ DOMÈSTIC A PART FIXA (85%)</t>
  </si>
  <si>
    <t>CALCULADA PART FIXA ESPECÍFICA</t>
  </si>
  <si>
    <t>PART FIXA TOTAL CALCULADA</t>
  </si>
  <si>
    <t>ESTIMACIÓ COSTOS GLOBALS 2025</t>
  </si>
  <si>
    <t>COSTOS GLOBALS</t>
  </si>
  <si>
    <t>Cost recollida porta a porta (inclou domèstica i comercial)</t>
  </si>
  <si>
    <t>Despeses gestió Consell Comarcal</t>
  </si>
  <si>
    <t>Ampliacions servei porta a porta</t>
  </si>
  <si>
    <t xml:space="preserve">Cost tractament fracció resta </t>
  </si>
  <si>
    <t>Cost tractament fracció orgànica</t>
  </si>
  <si>
    <t>Despeses gestió i recaptació taxa comarcal</t>
  </si>
  <si>
    <t>TOTAL COSTOS PART COMARCAL</t>
  </si>
  <si>
    <t>ESTIMACIÓ INGRESSOS 2025</t>
  </si>
  <si>
    <t xml:space="preserve">RETORN DEL CÀNON FORM </t>
  </si>
  <si>
    <t>TOTAL INGRESSOS PART COMARCAL</t>
  </si>
  <si>
    <t>dades pap</t>
  </si>
  <si>
    <t>actualitzat 2023 extrapolat desembre</t>
  </si>
  <si>
    <t>pendent</t>
  </si>
  <si>
    <t>DADES 2022 (NO ESTIMAT)</t>
  </si>
  <si>
    <t>ESTIMAT COM SI TOT EL 2022 HAGUÉS ESTAT PAP</t>
  </si>
  <si>
    <t>FORM</t>
  </si>
  <si>
    <t>ENVASOS</t>
  </si>
  <si>
    <t>PiC</t>
  </si>
  <si>
    <t>VIDRE</t>
  </si>
  <si>
    <t>PODA</t>
  </si>
  <si>
    <t>TRASTOS</t>
  </si>
  <si>
    <t>ROBA</t>
  </si>
  <si>
    <t>DEIXALLERIA</t>
  </si>
  <si>
    <t>RESTA</t>
  </si>
  <si>
    <t>RS</t>
  </si>
  <si>
    <t>GENERACIÓ PER CÀPITA 2021 (KG/HAB/DIA)</t>
  </si>
  <si>
    <t>GENERACIÓ PER CÀPITA 2023 (KG/HAB/DIA)</t>
  </si>
  <si>
    <t>POBLACIÓ 2022</t>
  </si>
  <si>
    <t>Aiguaviva</t>
  </si>
  <si>
    <t>Bescanó</t>
  </si>
  <si>
    <t>FALTEN DADES DE LA RECOLLIDA DE PODA PER PART DE L'AJUNTAMENT</t>
  </si>
  <si>
    <t>Bordils</t>
  </si>
  <si>
    <t>Campllong</t>
  </si>
  <si>
    <t>Cervià deTer</t>
  </si>
  <si>
    <t>Flaçà</t>
  </si>
  <si>
    <t>Fornells de la Selva</t>
  </si>
  <si>
    <t>Juià</t>
  </si>
  <si>
    <t>Llambilles</t>
  </si>
  <si>
    <t>Quart</t>
  </si>
  <si>
    <t>Sant Gregori</t>
  </si>
  <si>
    <t>Sant Joan de Mollet</t>
  </si>
  <si>
    <t>Sant Julià de Ramis (inclou medinyà)</t>
  </si>
  <si>
    <t>Sarrià deTer</t>
  </si>
  <si>
    <t>COST TRACTAMENT FORM 2023 (no es coneixen tarifes 2024)</t>
  </si>
  <si>
    <t>he suposat que aquestes quantitats tenen iva i li trec, sobre les despeses del CC no he tret res</t>
  </si>
  <si>
    <t>COST SERVEI</t>
  </si>
  <si>
    <t>DESPESES CONSELL</t>
  </si>
  <si>
    <t>TRACTAMENT FORM</t>
  </si>
  <si>
    <t>INGRÉS VIDRE</t>
  </si>
  <si>
    <t>INGRÉS PC ECOEMBES</t>
  </si>
  <si>
    <t>INGRÉS ENVASOS ECOEMBES</t>
  </si>
  <si>
    <t>RETORN CÀNON FORM RECOLLIDA</t>
  </si>
  <si>
    <t>estimació tract voluminosos (amb tones 22 i preus 24)</t>
  </si>
  <si>
    <t>Sant Julià de Ramis</t>
  </si>
  <si>
    <t>Retorn del cànon de la poda? Qui el cobra?  no tinc dades</t>
  </si>
  <si>
    <t>ESPECÍFIQUES</t>
  </si>
  <si>
    <t>COST RECOLLIDA VOLUMINOSOS</t>
  </si>
  <si>
    <t>TRACTAMENT DE VOLUMINOSOS</t>
  </si>
  <si>
    <t>DEIXALLERIA MÒBIL</t>
  </si>
  <si>
    <t>COST RECOLLIDA OLI VEGETAL USAT</t>
  </si>
  <si>
    <t>COSTOS SERVEIS EXTRES</t>
  </si>
  <si>
    <t>TOTAL DESPESES PART ESPECÍFICA</t>
  </si>
  <si>
    <t>COST NET DEL SERVEI 2025</t>
  </si>
  <si>
    <t>LLAMBILLES</t>
  </si>
  <si>
    <t>Part global</t>
  </si>
  <si>
    <t>Costos part global</t>
  </si>
  <si>
    <t>Ingressos part global</t>
  </si>
  <si>
    <t>Total costos nets part global</t>
  </si>
  <si>
    <t>Part específica</t>
  </si>
  <si>
    <t>Costos part específica</t>
  </si>
  <si>
    <t>Total costos part específica</t>
  </si>
  <si>
    <t>TOTAL COST NET</t>
  </si>
  <si>
    <t>TARIFA PART FIXA GLOBAL</t>
  </si>
  <si>
    <t>TARIFA PART FIXA ESPECÍFICA</t>
  </si>
  <si>
    <t>PART FIXA ESPECÍFICA</t>
  </si>
  <si>
    <t>PART FIXA TOTAL PAP</t>
  </si>
  <si>
    <t>PART FIXA TOTAL AT</t>
  </si>
  <si>
    <t>RECAPTACIÓ PART FIXA</t>
  </si>
  <si>
    <t>Nº habitatges</t>
  </si>
  <si>
    <t>Nº habitatges PAP</t>
  </si>
  <si>
    <t>Nº habitatges AT</t>
  </si>
  <si>
    <t>Habitatges amb descompte quota reduïda PAP (2%)</t>
  </si>
  <si>
    <t>Habitatges amb descompte quota reduïda AT (2%)</t>
  </si>
  <si>
    <t>QUOTA PART FIXA PAP</t>
  </si>
  <si>
    <t>Reducció quota</t>
  </si>
  <si>
    <t>Recaptació amb reducció quota</t>
  </si>
  <si>
    <t>QUOTA PART FIXA AT</t>
  </si>
  <si>
    <t>TOTAL RECAPTAT PART FIXA AMB REDUCCIÓ</t>
  </si>
  <si>
    <t>RECAPTACIÓ PART VARIABLE</t>
  </si>
  <si>
    <t>Habitatges AT</t>
  </si>
  <si>
    <t>TOTAL RECAPTAT PART VARIABLE</t>
  </si>
  <si>
    <t>TOTAL RECAPTAT PART FIXA</t>
  </si>
  <si>
    <t>TRAMS PART VARIABLE DOMÈSTICA</t>
  </si>
  <si>
    <t>TOTAL RECAPTAT HABITATGES</t>
  </si>
  <si>
    <t>Recaptació variable domèstica</t>
  </si>
  <si>
    <t>FORM PARTICIPACIÓ</t>
  </si>
  <si>
    <r>
      <t xml:space="preserve">Nº aportacions anuals </t>
    </r>
    <r>
      <rPr>
        <b/>
        <u/>
        <sz val="11"/>
        <rFont val="Arial"/>
        <family val="2"/>
      </rPr>
      <t>alta freqüència</t>
    </r>
  </si>
  <si>
    <t>Tram participació molt baixa</t>
  </si>
  <si>
    <t>Tram participació baixa</t>
  </si>
  <si>
    <t>Tram participació mitjana</t>
  </si>
  <si>
    <t>Tram participació òptima</t>
  </si>
  <si>
    <t>ENVASOS PARTICIPACIÓ</t>
  </si>
  <si>
    <t>Fracció orgànica</t>
  </si>
  <si>
    <t>&lt; 6</t>
  </si>
  <si>
    <t>6 - 20</t>
  </si>
  <si>
    <t>21 – 46</t>
  </si>
  <si>
    <t>&gt; 46</t>
  </si>
  <si>
    <t>RESTA PARTICIPACIÓ</t>
  </si>
  <si>
    <t>Envasos lleugers</t>
  </si>
  <si>
    <t>&lt; 3</t>
  </si>
  <si>
    <t>3 - 9</t>
  </si>
  <si>
    <t>&gt; 70</t>
  </si>
  <si>
    <t>10 - 70</t>
  </si>
  <si>
    <t>TOTAL ESTÀNDARD</t>
  </si>
  <si>
    <t>MITJANA PART VARIABLE/HABITATGE ESTÀNDARD</t>
  </si>
  <si>
    <t>Resta</t>
  </si>
  <si>
    <t>3 - 5</t>
  </si>
  <si>
    <t>6 - 26</t>
  </si>
  <si>
    <t>HIPÒTESI PARTICIPACIÓ</t>
  </si>
  <si>
    <t>IMPORT TRAM</t>
  </si>
  <si>
    <t xml:space="preserve">RECAPTACIÓ </t>
  </si>
  <si>
    <t>TRAM PARTICIPACIÓ MOLT BAIXA</t>
  </si>
  <si>
    <t>Deixalleria</t>
  </si>
  <si>
    <t>&gt;= 1</t>
  </si>
  <si>
    <t>TRAM PARTICIPACIÓ BAIXA</t>
  </si>
  <si>
    <t>TRAM PARTICIPACIÓ MITJANA</t>
  </si>
  <si>
    <t>TRAM PARTICIPACIÓ ÒPTIMA</t>
  </si>
  <si>
    <r>
      <t xml:space="preserve">Nº aportacions anuals </t>
    </r>
    <r>
      <rPr>
        <b/>
        <u/>
        <sz val="11"/>
        <rFont val="Arial"/>
        <family val="2"/>
      </rPr>
      <t>baixa freqüència</t>
    </r>
  </si>
  <si>
    <t>21 - 46</t>
  </si>
  <si>
    <t>&gt;46</t>
  </si>
  <si>
    <t>&gt; 50</t>
  </si>
  <si>
    <t>10 - 50</t>
  </si>
  <si>
    <t xml:space="preserve">3 - 5 </t>
  </si>
  <si>
    <t>6 - 12</t>
  </si>
  <si>
    <t>&gt;=1</t>
  </si>
  <si>
    <t>DEIXALLERIA PARTICIPACIÓ</t>
  </si>
  <si>
    <t xml:space="preserve">PART VARIABLE </t>
  </si>
  <si>
    <t>TOTAL RECAPTACIÓ DOMÈSTICA</t>
  </si>
  <si>
    <t>PART FIXA COMERCIAL</t>
  </si>
  <si>
    <t xml:space="preserve"> Tarifa alta freqüència (€/litre/any)</t>
  </si>
  <si>
    <t>Tarifa baixa freqüència (€/litre/any)</t>
  </si>
  <si>
    <t>Tarifa ús àrea tancada (€/any)</t>
  </si>
  <si>
    <t>Tarifa activitat desconnectada o local buit</t>
  </si>
  <si>
    <t>Orgànica</t>
  </si>
  <si>
    <t>Envasos</t>
  </si>
  <si>
    <t>Paper i cartró</t>
  </si>
  <si>
    <t>Vidre</t>
  </si>
  <si>
    <t>Multimaterial</t>
  </si>
  <si>
    <t>PART VARIABLE COMERCIAL</t>
  </si>
  <si>
    <t>Servei de reforç recollida comercial</t>
  </si>
  <si>
    <t>Fracció</t>
  </si>
  <si>
    <t>Volum bujol/contenidor (litres)</t>
  </si>
  <si>
    <t>Tarifa €/servei de recollida</t>
  </si>
  <si>
    <t>120 - 1.100</t>
  </si>
  <si>
    <t>120 - 360</t>
  </si>
  <si>
    <t xml:space="preserve">Envasos </t>
  </si>
  <si>
    <t>TOTAL INGRÉS COMERCIAL COMARCAL</t>
  </si>
  <si>
    <t>Nº ACT.ÚS AT</t>
  </si>
  <si>
    <t>ACT.DESCONNECTADES / LOCALS BUITS INFORME</t>
  </si>
  <si>
    <t>INGRÉS x VOLUM</t>
  </si>
  <si>
    <t>INGRÉS x VOLUM EQUIPAMENTS</t>
  </si>
  <si>
    <t>INGRÉS x VOLUM TOTAL</t>
  </si>
  <si>
    <t>INGRÉS x ÚS AT</t>
  </si>
  <si>
    <t>INGRÉS ACT. DESCONNECTADES I LOCALS BUITS</t>
  </si>
  <si>
    <t>TOTAL INGRÉS</t>
  </si>
  <si>
    <t>€ PART FIXA (desconnectades, locals buits)</t>
  </si>
  <si>
    <t>Aiguaviva (BF)</t>
  </si>
  <si>
    <t>€ PART FIXA (ús àrea tancada)</t>
  </si>
  <si>
    <t>Bescanó (AF)</t>
  </si>
  <si>
    <t>Bescanó (BF)</t>
  </si>
  <si>
    <t>Cervià de Ter</t>
  </si>
  <si>
    <t>Sant Julià de Ramis - Medinyà (AF)</t>
  </si>
  <si>
    <t>Sant Julià de Ramis - Medinyà (BF)</t>
  </si>
  <si>
    <t>Sarrià de Ter</t>
  </si>
  <si>
    <t>RESIDÈNCIA SANTA ANNA DE BESCANÓ</t>
  </si>
  <si>
    <t>CAP SARRIÀ DE TER</t>
  </si>
  <si>
    <t>RESIDÈNCIA SARRIÀ DE TER</t>
  </si>
  <si>
    <t>DADES ARC 2021</t>
  </si>
  <si>
    <t>OLI</t>
  </si>
  <si>
    <t>VARIACIÓ GENERACIÓ PER CÀPITA</t>
  </si>
  <si>
    <t>TOTAL 2021</t>
  </si>
  <si>
    <t>POBLACIÓ 2021</t>
  </si>
  <si>
    <t>438,36</t>
  </si>
  <si>
    <t>RETORN CÀNON FORM TRACTAMENT</t>
  </si>
  <si>
    <t>BALANÇ  FINAL  2025</t>
  </si>
  <si>
    <t>DESPESES</t>
  </si>
  <si>
    <t>COST NET PART GLOBAL</t>
  </si>
  <si>
    <t>COST PART ESPECÍFICA</t>
  </si>
  <si>
    <t>TOTAL COST SERVEI</t>
  </si>
  <si>
    <t>INGRESSOS</t>
  </si>
  <si>
    <t>RECAPTACIÓ HABITATGES FIXA</t>
  </si>
  <si>
    <t>RECAPTACIÓ HABITATGES VARIABLE</t>
  </si>
  <si>
    <t>RECAPTACIÓ COMERÇOS FIXA</t>
  </si>
  <si>
    <t>RECAPTACIÓ COMERÇOS VARIABLE</t>
  </si>
  <si>
    <t>TOTAL INGRESSOS</t>
  </si>
  <si>
    <t>TOTAL BALANÇ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</si>
</sst>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"/>
    <numFmt numFmtId="166" formatCode="#,##0.0"/>
    <numFmt numFmtId="167" formatCode="_-* #,##0.00\ [$€-C0A]_-;\-* #,##0.00\ [$€-C0A]_-;_-* &quot;-&quot;??\ [$€-C0A]_-;_-@_-"/>
    <numFmt numFmtId="168" formatCode="#,##0\ &quot;€&quot;"/>
    <numFmt numFmtId="169" formatCode="0.0%"/>
    <numFmt numFmtId="170" formatCode="0.0000"/>
    <numFmt numFmtId="171" formatCode="#,##0.00\ [$€-C0A];\-#,##0.00\ [$€-C0A]"/>
    <numFmt numFmtId="172" formatCode="_-* #,##0.0\ [$€-C0A]_-;\-* #,##0.0\ [$€-C0A]_-;_-* &quot;-&quot;??\ [$€-C0A]_-;_-@_-"/>
  </numFmts>
  <fonts count="9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DIN Next LT Pro"/>
      <family val="2"/>
    </font>
    <font>
      <sz val="10"/>
      <name val="DIN Next LT Pro Bold"/>
      <family val="2"/>
    </font>
    <font>
      <sz val="10"/>
      <name val="Arial"/>
      <family val="2"/>
    </font>
    <font>
      <sz val="10"/>
      <color theme="1" tint="0.249977111117893"/>
      <name val="DIN Next LT Pro Bold"/>
      <family val="2"/>
    </font>
    <font>
      <sz val="8"/>
      <color theme="1" tint="0.249977111117893"/>
      <name val="DIN Next LT Pro"/>
      <family val="2"/>
    </font>
    <font>
      <sz val="10"/>
      <color rgb="FF404040"/>
      <name val="DIN Next LT Pro Bold"/>
      <family val="2"/>
    </font>
    <font>
      <sz val="11"/>
      <color rgb="FF000000"/>
      <name val="Calibri"/>
      <family val="2"/>
    </font>
    <font>
      <sz val="8"/>
      <color rgb="FF404040"/>
      <name val="DIN Next LT Pro Bold"/>
      <family val="2"/>
    </font>
    <font>
      <sz val="11"/>
      <color indexed="8"/>
      <name val="Calibri"/>
      <family val="2"/>
      <scheme val="minor"/>
    </font>
    <font>
      <sz val="8"/>
      <color indexed="8"/>
      <name val="Tahoma"/>
      <family val="2"/>
    </font>
    <font>
      <sz val="10"/>
      <color theme="1" tint="0.249977111117893"/>
      <name val="DIN Next LT Pro"/>
      <family val="2"/>
    </font>
    <font>
      <sz val="9"/>
      <color theme="1" tint="0.249977111117893"/>
      <name val="DIN Next LT Pro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9"/>
      <color rgb="FF000000"/>
      <name val="Calibri"/>
      <family val="2"/>
    </font>
    <font>
      <sz val="10"/>
      <color rgb="FFFF0000"/>
      <name val="DIN Next LT Pro"/>
      <family val="2"/>
    </font>
    <font>
      <sz val="8"/>
      <color rgb="FFFF0000"/>
      <name val="DIN Next LT Pro"/>
      <family val="2"/>
    </font>
    <font>
      <sz val="9"/>
      <color rgb="FFFF0000"/>
      <name val="DIN Next LT Pro"/>
      <family val="2"/>
    </font>
    <font>
      <sz val="10"/>
      <color rgb="FFFF0000"/>
      <name val="Arial"/>
      <family val="2"/>
    </font>
    <font>
      <b/>
      <sz val="10"/>
      <name val="DIN Next LT Pro"/>
      <family val="2"/>
    </font>
    <font>
      <b/>
      <sz val="10"/>
      <name val="Arial"/>
      <family val="2"/>
    </font>
    <font>
      <sz val="9"/>
      <color theme="1"/>
      <name val="DIN Next LT Pro"/>
      <family val="2"/>
    </font>
    <font>
      <sz val="9"/>
      <color theme="1"/>
      <name val="DIN Next LT Pro Bold"/>
      <family val="2"/>
    </font>
    <font>
      <sz val="8"/>
      <color theme="1"/>
      <name val="DIN Next LT Pro"/>
      <family val="2"/>
    </font>
    <font>
      <sz val="10"/>
      <name val="Times New Roman"/>
      <family val="1"/>
    </font>
    <font>
      <sz val="10"/>
      <name val="Arial"/>
      <family val="2"/>
    </font>
    <font>
      <sz val="8"/>
      <color rgb="FFFF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b/>
      <sz val="10"/>
      <name val="DIN Next LT Pro Bold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9"/>
      <name val="DIN Next LT Pro"/>
    </font>
    <font>
      <b/>
      <sz val="9"/>
      <name val="DIN Next LT Pro"/>
      <family val="2"/>
    </font>
    <font>
      <b/>
      <sz val="28"/>
      <name val="Arial"/>
      <family val="2"/>
    </font>
    <font>
      <sz val="10"/>
      <name val="DIN Next LT Pro"/>
    </font>
    <font>
      <b/>
      <u/>
      <sz val="9"/>
      <name val="Arial"/>
      <family val="2"/>
    </font>
    <font>
      <sz val="9"/>
      <name val="DIN Next LT Pro"/>
      <family val="2"/>
    </font>
    <font>
      <b/>
      <sz val="10"/>
      <name val="DIN Next LT Pro"/>
    </font>
    <font>
      <sz val="9"/>
      <name val="DIN Next LT Pro"/>
    </font>
    <font>
      <b/>
      <sz val="18"/>
      <color rgb="FF404040"/>
      <name val="DIN Next LT Pro Bold"/>
    </font>
    <font>
      <b/>
      <sz val="8"/>
      <color theme="1"/>
      <name val="DIN Next LT Pro Bold"/>
      <family val="2"/>
    </font>
    <font>
      <b/>
      <sz val="7"/>
      <color theme="1"/>
      <name val="DIN Next LT Pro"/>
      <family val="2"/>
    </font>
    <font>
      <b/>
      <u/>
      <sz val="10"/>
      <name val="Arial"/>
      <family val="2"/>
    </font>
    <font>
      <b/>
      <sz val="9"/>
      <color theme="1"/>
      <name val="DIN Next LT Pro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b/>
      <sz val="16"/>
      <color rgb="FF404040"/>
      <name val="DIN Next LT Pro Bold"/>
    </font>
    <font>
      <b/>
      <sz val="14"/>
      <color rgb="FF404040"/>
      <name val="DIN Next LT Pro Bold"/>
    </font>
    <font>
      <sz val="9"/>
      <color rgb="FF404040"/>
      <name val="DIN Next LT Pro Bold"/>
      <family val="2"/>
    </font>
    <font>
      <sz val="8"/>
      <name val="DIN Next LT Pro"/>
      <family val="2"/>
    </font>
    <font>
      <b/>
      <sz val="8"/>
      <color rgb="FF000000"/>
      <name val="DIN Next LT Pro"/>
    </font>
    <font>
      <sz val="8"/>
      <color rgb="FF000000"/>
      <name val="DIN Next LT Pro"/>
      <family val="2"/>
    </font>
    <font>
      <b/>
      <sz val="10"/>
      <color rgb="FFFF0000"/>
      <name val="Arial"/>
      <family val="2"/>
    </font>
    <font>
      <b/>
      <sz val="8"/>
      <name val="DIN Next LT Pro Bold"/>
      <family val="2"/>
    </font>
    <font>
      <b/>
      <sz val="8"/>
      <name val="DIN Next LT Pro"/>
    </font>
    <font>
      <sz val="9"/>
      <color theme="0"/>
      <name val="DIN Next LT Pro"/>
      <family val="2"/>
    </font>
    <font>
      <b/>
      <sz val="9"/>
      <color theme="6" tint="0.59999389629810485"/>
      <name val="DIN Next LT Pro"/>
      <family val="2"/>
    </font>
    <font>
      <b/>
      <sz val="9"/>
      <color theme="1" tint="0.249977111117893"/>
      <name val="DIN Next LT Pro Bold"/>
    </font>
    <font>
      <b/>
      <u/>
      <sz val="11"/>
      <name val="Arial"/>
      <family val="2"/>
    </font>
    <font>
      <b/>
      <sz val="11"/>
      <color rgb="FFFFFFFF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-0.249977111117893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404040"/>
        <bgColor indexed="64"/>
      </patternFill>
    </fill>
  </fills>
  <borders count="7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medium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FFFFFF"/>
      </bottom>
      <diagonal/>
    </border>
    <border>
      <left/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4">
    <xf numFmtId="0" fontId="0" fillId="0" borderId="0"/>
    <xf numFmtId="9" fontId="12" fillId="0" borderId="0" applyFont="0" applyFill="0" applyBorder="0" applyAlignment="0" applyProtection="0"/>
    <xf numFmtId="0" fontId="18" fillId="0" borderId="0"/>
    <xf numFmtId="0" fontId="12" fillId="0" borderId="0"/>
    <xf numFmtId="0" fontId="9" fillId="0" borderId="0"/>
    <xf numFmtId="0" fontId="8" fillId="0" borderId="0"/>
    <xf numFmtId="0" fontId="8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5" fillId="0" borderId="0"/>
    <xf numFmtId="0" fontId="6" fillId="0" borderId="0"/>
    <xf numFmtId="0" fontId="3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0" fillId="0" borderId="0" applyNumberFormat="0" applyFill="0" applyBorder="0" applyAlignment="0" applyProtection="0"/>
    <xf numFmtId="0" fontId="41" fillId="14" borderId="0" applyNumberFormat="0" applyBorder="0" applyAlignment="0" applyProtection="0"/>
    <xf numFmtId="0" fontId="42" fillId="15" borderId="0" applyNumberFormat="0" applyBorder="0" applyAlignment="0" applyProtection="0"/>
    <xf numFmtId="0" fontId="43" fillId="16" borderId="0" applyNumberFormat="0" applyBorder="0" applyAlignment="0" applyProtection="0"/>
    <xf numFmtId="0" fontId="44" fillId="17" borderId="25" applyNumberFormat="0" applyAlignment="0" applyProtection="0"/>
    <xf numFmtId="0" fontId="45" fillId="18" borderId="26" applyNumberFormat="0" applyAlignment="0" applyProtection="0"/>
    <xf numFmtId="0" fontId="46" fillId="18" borderId="25" applyNumberFormat="0" applyAlignment="0" applyProtection="0"/>
    <xf numFmtId="0" fontId="47" fillId="0" borderId="27" applyNumberFormat="0" applyFill="0" applyAlignment="0" applyProtection="0"/>
    <xf numFmtId="0" fontId="48" fillId="19" borderId="28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0" applyNumberFormat="0" applyFill="0" applyAlignment="0" applyProtection="0"/>
    <xf numFmtId="0" fontId="52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2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2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2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2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2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0" borderId="0"/>
    <xf numFmtId="0" fontId="5" fillId="20" borderId="29" applyNumberFormat="0" applyFont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20" borderId="29" applyNumberFormat="0" applyFont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388">
    <xf numFmtId="0" fontId="0" fillId="0" borderId="0" xfId="0"/>
    <xf numFmtId="0" fontId="0" fillId="2" borderId="0" xfId="0" applyFill="1"/>
    <xf numFmtId="0" fontId="13" fillId="0" borderId="0" xfId="0" applyFont="1"/>
    <xf numFmtId="167" fontId="14" fillId="3" borderId="1" xfId="0" applyNumberFormat="1" applyFont="1" applyFill="1" applyBorder="1"/>
    <xf numFmtId="0" fontId="15" fillId="0" borderId="3" xfId="0" applyFont="1" applyBorder="1" applyAlignment="1">
      <alignment horizontal="right" vertical="center"/>
    </xf>
    <xf numFmtId="0" fontId="16" fillId="0" borderId="0" xfId="0" applyFont="1"/>
    <xf numFmtId="0" fontId="17" fillId="10" borderId="2" xfId="0" applyFont="1" applyFill="1" applyBorder="1" applyAlignment="1">
      <alignment horizontal="center"/>
    </xf>
    <xf numFmtId="0" fontId="17" fillId="10" borderId="4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left"/>
    </xf>
    <xf numFmtId="166" fontId="10" fillId="7" borderId="2" xfId="0" applyNumberFormat="1" applyFont="1" applyFill="1" applyBorder="1" applyAlignment="1">
      <alignment horizontal="center"/>
    </xf>
    <xf numFmtId="165" fontId="11" fillId="9" borderId="2" xfId="0" applyNumberFormat="1" applyFont="1" applyFill="1" applyBorder="1" applyAlignment="1">
      <alignment horizontal="center"/>
    </xf>
    <xf numFmtId="167" fontId="0" fillId="0" borderId="0" xfId="0" applyNumberFormat="1"/>
    <xf numFmtId="167" fontId="20" fillId="3" borderId="1" xfId="0" applyNumberFormat="1" applyFont="1" applyFill="1" applyBorder="1" applyAlignment="1">
      <alignment horizontal="right"/>
    </xf>
    <xf numFmtId="167" fontId="21" fillId="3" borderId="1" xfId="0" applyNumberFormat="1" applyFont="1" applyFill="1" applyBorder="1"/>
    <xf numFmtId="0" fontId="24" fillId="2" borderId="0" xfId="0" applyFont="1" applyFill="1" applyAlignment="1">
      <alignment horizontal="center" vertical="center"/>
    </xf>
    <xf numFmtId="49" fontId="23" fillId="2" borderId="0" xfId="2" applyNumberFormat="1" applyFont="1" applyFill="1"/>
    <xf numFmtId="167" fontId="25" fillId="3" borderId="1" xfId="0" applyNumberFormat="1" applyFont="1" applyFill="1" applyBorder="1" applyAlignment="1">
      <alignment horizontal="right"/>
    </xf>
    <xf numFmtId="164" fontId="0" fillId="0" borderId="0" xfId="0" applyNumberFormat="1"/>
    <xf numFmtId="166" fontId="25" fillId="7" borderId="2" xfId="0" applyNumberFormat="1" applyFont="1" applyFill="1" applyBorder="1" applyAlignment="1">
      <alignment horizontal="center"/>
    </xf>
    <xf numFmtId="15" fontId="0" fillId="0" borderId="0" xfId="0" applyNumberFormat="1"/>
    <xf numFmtId="169" fontId="10" fillId="7" borderId="6" xfId="1" applyNumberFormat="1" applyFont="1" applyFill="1" applyBorder="1" applyAlignment="1">
      <alignment horizontal="center"/>
    </xf>
    <xf numFmtId="169" fontId="11" fillId="8" borderId="6" xfId="1" applyNumberFormat="1" applyFont="1" applyFill="1" applyBorder="1" applyAlignment="1">
      <alignment horizontal="center"/>
    </xf>
    <xf numFmtId="9" fontId="10" fillId="7" borderId="5" xfId="1" applyFont="1" applyFill="1" applyBorder="1" applyAlignment="1">
      <alignment horizontal="center"/>
    </xf>
    <xf numFmtId="0" fontId="10" fillId="8" borderId="0" xfId="0" applyFont="1" applyFill="1" applyAlignment="1">
      <alignment horizontal="left"/>
    </xf>
    <xf numFmtId="0" fontId="17" fillId="10" borderId="10" xfId="0" applyFont="1" applyFill="1" applyBorder="1" applyAlignment="1">
      <alignment horizontal="center"/>
    </xf>
    <xf numFmtId="4" fontId="10" fillId="7" borderId="2" xfId="0" applyNumberFormat="1" applyFont="1" applyFill="1" applyBorder="1" applyAlignment="1">
      <alignment horizontal="center"/>
    </xf>
    <xf numFmtId="3" fontId="10" fillId="7" borderId="2" xfId="0" applyNumberFormat="1" applyFont="1" applyFill="1" applyBorder="1" applyAlignment="1">
      <alignment horizontal="center"/>
    </xf>
    <xf numFmtId="2" fontId="11" fillId="9" borderId="2" xfId="0" applyNumberFormat="1" applyFont="1" applyFill="1" applyBorder="1" applyAlignment="1">
      <alignment horizontal="center"/>
    </xf>
    <xf numFmtId="0" fontId="17" fillId="10" borderId="2" xfId="0" applyFont="1" applyFill="1" applyBorder="1" applyAlignment="1">
      <alignment horizontal="center" wrapText="1"/>
    </xf>
    <xf numFmtId="0" fontId="28" fillId="2" borderId="0" xfId="0" applyFont="1" applyFill="1"/>
    <xf numFmtId="167" fontId="0" fillId="2" borderId="0" xfId="0" applyNumberFormat="1" applyFill="1"/>
    <xf numFmtId="170" fontId="0" fillId="2" borderId="0" xfId="0" applyNumberFormat="1" applyFill="1"/>
    <xf numFmtId="6" fontId="0" fillId="0" borderId="0" xfId="0" applyNumberFormat="1"/>
    <xf numFmtId="0" fontId="30" fillId="0" borderId="0" xfId="0" applyFont="1"/>
    <xf numFmtId="0" fontId="31" fillId="0" borderId="0" xfId="0" applyFont="1"/>
    <xf numFmtId="9" fontId="33" fillId="0" borderId="13" xfId="0" applyNumberFormat="1" applyFont="1" applyBorder="1"/>
    <xf numFmtId="168" fontId="33" fillId="0" borderId="13" xfId="0" applyNumberFormat="1" applyFont="1" applyBorder="1"/>
    <xf numFmtId="3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17" fillId="10" borderId="6" xfId="0" applyFont="1" applyFill="1" applyBorder="1" applyAlignment="1">
      <alignment horizontal="center"/>
    </xf>
    <xf numFmtId="167" fontId="14" fillId="2" borderId="0" xfId="0" applyNumberFormat="1" applyFont="1" applyFill="1"/>
    <xf numFmtId="167" fontId="26" fillId="2" borderId="0" xfId="0" applyNumberFormat="1" applyFont="1" applyFill="1"/>
    <xf numFmtId="9" fontId="20" fillId="3" borderId="1" xfId="1" applyFont="1" applyFill="1" applyBorder="1" applyAlignment="1">
      <alignment horizontal="right"/>
    </xf>
    <xf numFmtId="167" fontId="14" fillId="2" borderId="15" xfId="0" applyNumberFormat="1" applyFont="1" applyFill="1" applyBorder="1"/>
    <xf numFmtId="3" fontId="19" fillId="2" borderId="0" xfId="2" applyNumberFormat="1" applyFont="1" applyFill="1" applyAlignment="1">
      <alignment horizontal="right" vertical="center" wrapText="1"/>
    </xf>
    <xf numFmtId="0" fontId="0" fillId="13" borderId="0" xfId="0" applyFill="1"/>
    <xf numFmtId="0" fontId="12" fillId="0" borderId="0" xfId="0" applyFont="1"/>
    <xf numFmtId="0" fontId="16" fillId="4" borderId="0" xfId="0" applyFont="1" applyFill="1"/>
    <xf numFmtId="0" fontId="17" fillId="10" borderId="20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left"/>
    </xf>
    <xf numFmtId="0" fontId="10" fillId="8" borderId="2" xfId="0" applyFont="1" applyFill="1" applyBorder="1" applyAlignment="1">
      <alignment horizontal="right"/>
    </xf>
    <xf numFmtId="0" fontId="10" fillId="7" borderId="21" xfId="0" applyFont="1" applyFill="1" applyBorder="1" applyAlignment="1">
      <alignment horizontal="left"/>
    </xf>
    <xf numFmtId="167" fontId="14" fillId="2" borderId="1" xfId="0" applyNumberFormat="1" applyFont="1" applyFill="1" applyBorder="1"/>
    <xf numFmtId="165" fontId="10" fillId="7" borderId="2" xfId="0" applyNumberFormat="1" applyFont="1" applyFill="1" applyBorder="1" applyAlignment="1">
      <alignment horizontal="center"/>
    </xf>
    <xf numFmtId="165" fontId="25" fillId="7" borderId="2" xfId="0" applyNumberFormat="1" applyFont="1" applyFill="1" applyBorder="1" applyAlignment="1">
      <alignment horizontal="center"/>
    </xf>
    <xf numFmtId="166" fontId="11" fillId="9" borderId="2" xfId="0" applyNumberFormat="1" applyFont="1" applyFill="1" applyBorder="1" applyAlignment="1">
      <alignment horizontal="center"/>
    </xf>
    <xf numFmtId="0" fontId="10" fillId="45" borderId="21" xfId="0" applyFont="1" applyFill="1" applyBorder="1" applyAlignment="1">
      <alignment horizontal="left"/>
    </xf>
    <xf numFmtId="0" fontId="56" fillId="45" borderId="21" xfId="0" applyFont="1" applyFill="1" applyBorder="1" applyAlignment="1">
      <alignment horizontal="left"/>
    </xf>
    <xf numFmtId="167" fontId="56" fillId="46" borderId="2" xfId="0" applyNumberFormat="1" applyFont="1" applyFill="1" applyBorder="1" applyAlignment="1">
      <alignment horizontal="center"/>
    </xf>
    <xf numFmtId="167" fontId="56" fillId="46" borderId="6" xfId="0" applyNumberFormat="1" applyFont="1" applyFill="1" applyBorder="1" applyAlignment="1">
      <alignment horizontal="center"/>
    </xf>
    <xf numFmtId="0" fontId="56" fillId="51" borderId="3" xfId="0" applyFont="1" applyFill="1" applyBorder="1" applyAlignment="1">
      <alignment horizontal="right" vertical="center"/>
    </xf>
    <xf numFmtId="167" fontId="61" fillId="51" borderId="0" xfId="0" applyNumberFormat="1" applyFont="1" applyFill="1"/>
    <xf numFmtId="0" fontId="58" fillId="0" borderId="0" xfId="0" applyFont="1" applyAlignment="1">
      <alignment horizontal="center" vertical="center" readingOrder="2"/>
    </xf>
    <xf numFmtId="167" fontId="62" fillId="0" borderId="0" xfId="0" applyNumberFormat="1" applyFont="1"/>
    <xf numFmtId="0" fontId="58" fillId="49" borderId="9" xfId="0" applyFont="1" applyFill="1" applyBorder="1" applyAlignment="1">
      <alignment horizontal="center" vertical="center" readingOrder="2"/>
    </xf>
    <xf numFmtId="167" fontId="62" fillId="49" borderId="9" xfId="0" applyNumberFormat="1" applyFont="1" applyFill="1" applyBorder="1"/>
    <xf numFmtId="0" fontId="29" fillId="0" borderId="0" xfId="0" applyFont="1"/>
    <xf numFmtId="167" fontId="62" fillId="49" borderId="31" xfId="0" applyNumberFormat="1" applyFont="1" applyFill="1" applyBorder="1"/>
    <xf numFmtId="0" fontId="29" fillId="47" borderId="31" xfId="0" applyFont="1" applyFill="1" applyBorder="1" applyAlignment="1">
      <alignment horizontal="left"/>
    </xf>
    <xf numFmtId="0" fontId="29" fillId="5" borderId="0" xfId="0" applyFont="1" applyFill="1"/>
    <xf numFmtId="0" fontId="29" fillId="5" borderId="35" xfId="0" applyFont="1" applyFill="1" applyBorder="1"/>
    <xf numFmtId="0" fontId="29" fillId="5" borderId="14" xfId="0" applyFont="1" applyFill="1" applyBorder="1"/>
    <xf numFmtId="167" fontId="62" fillId="5" borderId="14" xfId="0" applyNumberFormat="1" applyFont="1" applyFill="1" applyBorder="1"/>
    <xf numFmtId="167" fontId="62" fillId="5" borderId="32" xfId="0" applyNumberFormat="1" applyFont="1" applyFill="1" applyBorder="1"/>
    <xf numFmtId="0" fontId="64" fillId="5" borderId="7" xfId="0" applyFont="1" applyFill="1" applyBorder="1"/>
    <xf numFmtId="167" fontId="62" fillId="5" borderId="0" xfId="0" applyNumberFormat="1" applyFont="1" applyFill="1"/>
    <xf numFmtId="167" fontId="62" fillId="5" borderId="11" xfId="0" applyNumberFormat="1" applyFont="1" applyFill="1" applyBorder="1"/>
    <xf numFmtId="0" fontId="29" fillId="5" borderId="7" xfId="0" applyFont="1" applyFill="1" applyBorder="1"/>
    <xf numFmtId="0" fontId="29" fillId="48" borderId="36" xfId="0" applyFont="1" applyFill="1" applyBorder="1"/>
    <xf numFmtId="0" fontId="29" fillId="48" borderId="38" xfId="0" applyFont="1" applyFill="1" applyBorder="1"/>
    <xf numFmtId="167" fontId="62" fillId="48" borderId="38" xfId="0" applyNumberFormat="1" applyFont="1" applyFill="1" applyBorder="1"/>
    <xf numFmtId="167" fontId="62" fillId="48" borderId="34" xfId="0" applyNumberFormat="1" applyFont="1" applyFill="1" applyBorder="1"/>
    <xf numFmtId="1" fontId="62" fillId="0" borderId="0" xfId="0" applyNumberFormat="1" applyFont="1"/>
    <xf numFmtId="0" fontId="57" fillId="0" borderId="0" xfId="0" applyFont="1" applyAlignment="1">
      <alignment horizontal="left" vertical="center" readingOrder="2"/>
    </xf>
    <xf numFmtId="167" fontId="62" fillId="51" borderId="41" xfId="0" applyNumberFormat="1" applyFont="1" applyFill="1" applyBorder="1"/>
    <xf numFmtId="167" fontId="66" fillId="51" borderId="43" xfId="0" applyNumberFormat="1" applyFont="1" applyFill="1" applyBorder="1"/>
    <xf numFmtId="1" fontId="66" fillId="51" borderId="43" xfId="0" applyNumberFormat="1" applyFont="1" applyFill="1" applyBorder="1"/>
    <xf numFmtId="167" fontId="62" fillId="51" borderId="16" xfId="0" applyNumberFormat="1" applyFont="1" applyFill="1" applyBorder="1"/>
    <xf numFmtId="0" fontId="65" fillId="12" borderId="39" xfId="0" applyFont="1" applyFill="1" applyBorder="1" applyAlignment="1">
      <alignment horizontal="left" vertical="center" readingOrder="2"/>
    </xf>
    <xf numFmtId="0" fontId="57" fillId="12" borderId="40" xfId="0" applyFont="1" applyFill="1" applyBorder="1" applyAlignment="1">
      <alignment horizontal="left" vertical="center" readingOrder="2"/>
    </xf>
    <xf numFmtId="167" fontId="62" fillId="12" borderId="40" xfId="0" applyNumberFormat="1" applyFont="1" applyFill="1" applyBorder="1"/>
    <xf numFmtId="167" fontId="62" fillId="12" borderId="41" xfId="0" applyNumberFormat="1" applyFont="1" applyFill="1" applyBorder="1"/>
    <xf numFmtId="0" fontId="55" fillId="12" borderId="42" xfId="0" applyFont="1" applyFill="1" applyBorder="1" applyAlignment="1">
      <alignment horizontal="left" vertical="center" readingOrder="2"/>
    </xf>
    <xf numFmtId="0" fontId="55" fillId="12" borderId="0" xfId="0" applyFont="1" applyFill="1" applyAlignment="1">
      <alignment horizontal="left" vertical="center" readingOrder="2"/>
    </xf>
    <xf numFmtId="167" fontId="66" fillId="12" borderId="0" xfId="0" applyNumberFormat="1" applyFont="1" applyFill="1"/>
    <xf numFmtId="0" fontId="57" fillId="12" borderId="44" xfId="0" applyFont="1" applyFill="1" applyBorder="1" applyAlignment="1">
      <alignment horizontal="left" vertical="center" readingOrder="2"/>
    </xf>
    <xf numFmtId="0" fontId="57" fillId="12" borderId="45" xfId="0" applyFont="1" applyFill="1" applyBorder="1" applyAlignment="1">
      <alignment horizontal="left" vertical="center" readingOrder="2"/>
    </xf>
    <xf numFmtId="0" fontId="67" fillId="47" borderId="46" xfId="0" applyFont="1" applyFill="1" applyBorder="1" applyAlignment="1">
      <alignment horizontal="left"/>
    </xf>
    <xf numFmtId="0" fontId="67" fillId="47" borderId="47" xfId="0" applyFont="1" applyFill="1" applyBorder="1" applyAlignment="1">
      <alignment horizontal="left"/>
    </xf>
    <xf numFmtId="167" fontId="64" fillId="47" borderId="47" xfId="0" applyNumberFormat="1" applyFont="1" applyFill="1" applyBorder="1" applyAlignment="1">
      <alignment horizontal="left"/>
    </xf>
    <xf numFmtId="167" fontId="64" fillId="47" borderId="17" xfId="0" applyNumberFormat="1" applyFont="1" applyFill="1" applyBorder="1" applyAlignment="1">
      <alignment horizontal="left"/>
    </xf>
    <xf numFmtId="0" fontId="17" fillId="10" borderId="9" xfId="0" applyFont="1" applyFill="1" applyBorder="1" applyAlignment="1">
      <alignment horizontal="center"/>
    </xf>
    <xf numFmtId="0" fontId="69" fillId="0" borderId="9" xfId="0" applyFont="1" applyBorder="1" applyAlignment="1">
      <alignment horizontal="center"/>
    </xf>
    <xf numFmtId="0" fontId="71" fillId="0" borderId="12" xfId="0" applyFont="1" applyBorder="1" applyAlignment="1">
      <alignment horizontal="center"/>
    </xf>
    <xf numFmtId="0" fontId="71" fillId="0" borderId="12" xfId="0" applyFont="1" applyBorder="1" applyAlignment="1">
      <alignment horizontal="right"/>
    </xf>
    <xf numFmtId="1" fontId="0" fillId="0" borderId="0" xfId="0" applyNumberFormat="1"/>
    <xf numFmtId="164" fontId="33" fillId="0" borderId="13" xfId="0" applyNumberFormat="1" applyFont="1" applyBorder="1"/>
    <xf numFmtId="0" fontId="31" fillId="0" borderId="0" xfId="0" applyFont="1" applyAlignment="1">
      <alignment wrapText="1"/>
    </xf>
    <xf numFmtId="0" fontId="32" fillId="0" borderId="0" xfId="0" applyFont="1" applyAlignment="1">
      <alignment horizontal="right"/>
    </xf>
    <xf numFmtId="6" fontId="32" fillId="0" borderId="0" xfId="0" applyNumberFormat="1" applyFont="1"/>
    <xf numFmtId="0" fontId="72" fillId="0" borderId="0" xfId="0" applyFont="1"/>
    <xf numFmtId="0" fontId="73" fillId="3" borderId="13" xfId="0" applyFont="1" applyFill="1" applyBorder="1"/>
    <xf numFmtId="0" fontId="73" fillId="3" borderId="0" xfId="0" applyFont="1" applyFill="1"/>
    <xf numFmtId="0" fontId="74" fillId="0" borderId="0" xfId="0" applyFont="1" applyAlignment="1">
      <alignment horizontal="left"/>
    </xf>
    <xf numFmtId="0" fontId="75" fillId="0" borderId="0" xfId="0" applyFont="1" applyAlignment="1">
      <alignment horizontal="left"/>
    </xf>
    <xf numFmtId="0" fontId="75" fillId="0" borderId="39" xfId="0" applyFont="1" applyBorder="1" applyAlignment="1">
      <alignment horizontal="left"/>
    </xf>
    <xf numFmtId="0" fontId="0" fillId="0" borderId="40" xfId="0" applyBorder="1"/>
    <xf numFmtId="1" fontId="0" fillId="0" borderId="40" xfId="0" applyNumberFormat="1" applyBorder="1"/>
    <xf numFmtId="0" fontId="0" fillId="0" borderId="41" xfId="0" applyBorder="1"/>
    <xf numFmtId="6" fontId="31" fillId="3" borderId="42" xfId="0" applyNumberFormat="1" applyFont="1" applyFill="1" applyBorder="1"/>
    <xf numFmtId="0" fontId="31" fillId="3" borderId="0" xfId="0" applyFont="1" applyFill="1"/>
    <xf numFmtId="3" fontId="31" fillId="3" borderId="0" xfId="0" applyNumberFormat="1" applyFont="1" applyFill="1"/>
    <xf numFmtId="44" fontId="31" fillId="3" borderId="0" xfId="0" applyNumberFormat="1" applyFont="1" applyFill="1"/>
    <xf numFmtId="8" fontId="31" fillId="3" borderId="43" xfId="0" applyNumberFormat="1" applyFont="1" applyFill="1" applyBorder="1"/>
    <xf numFmtId="0" fontId="31" fillId="0" borderId="42" xfId="0" applyFont="1" applyBorder="1"/>
    <xf numFmtId="3" fontId="31" fillId="0" borderId="0" xfId="0" applyNumberFormat="1" applyFont="1"/>
    <xf numFmtId="167" fontId="31" fillId="0" borderId="0" xfId="0" applyNumberFormat="1" applyFont="1"/>
    <xf numFmtId="8" fontId="31" fillId="0" borderId="43" xfId="0" applyNumberFormat="1" applyFont="1" applyBorder="1"/>
    <xf numFmtId="6" fontId="31" fillId="3" borderId="0" xfId="0" applyNumberFormat="1" applyFont="1" applyFill="1"/>
    <xf numFmtId="3" fontId="27" fillId="3" borderId="0" xfId="0" applyNumberFormat="1" applyFont="1" applyFill="1"/>
    <xf numFmtId="0" fontId="73" fillId="3" borderId="50" xfId="0" applyFont="1" applyFill="1" applyBorder="1"/>
    <xf numFmtId="8" fontId="73" fillId="3" borderId="51" xfId="0" applyNumberFormat="1" applyFont="1" applyFill="1" applyBorder="1"/>
    <xf numFmtId="0" fontId="73" fillId="3" borderId="42" xfId="0" applyFont="1" applyFill="1" applyBorder="1"/>
    <xf numFmtId="8" fontId="73" fillId="3" borderId="43" xfId="0" applyNumberFormat="1" applyFont="1" applyFill="1" applyBorder="1"/>
    <xf numFmtId="0" fontId="70" fillId="0" borderId="52" xfId="0" applyFont="1" applyBorder="1" applyAlignment="1">
      <alignment wrapText="1"/>
    </xf>
    <xf numFmtId="0" fontId="71" fillId="0" borderId="53" xfId="0" applyFont="1" applyBorder="1" applyAlignment="1">
      <alignment horizontal="right"/>
    </xf>
    <xf numFmtId="0" fontId="33" fillId="0" borderId="42" xfId="0" applyFont="1" applyBorder="1" applyAlignment="1">
      <alignment horizontal="right" wrapText="1"/>
    </xf>
    <xf numFmtId="169" fontId="33" fillId="0" borderId="0" xfId="0" applyNumberFormat="1" applyFont="1"/>
    <xf numFmtId="3" fontId="33" fillId="0" borderId="0" xfId="0" applyNumberFormat="1" applyFont="1"/>
    <xf numFmtId="164" fontId="33" fillId="0" borderId="0" xfId="0" applyNumberFormat="1" applyFont="1"/>
    <xf numFmtId="171" fontId="33" fillId="0" borderId="43" xfId="0" applyNumberFormat="1" applyFont="1" applyBorder="1"/>
    <xf numFmtId="0" fontId="33" fillId="0" borderId="50" xfId="0" applyFont="1" applyBorder="1" applyAlignment="1">
      <alignment horizontal="right" wrapText="1"/>
    </xf>
    <xf numFmtId="168" fontId="33" fillId="0" borderId="0" xfId="0" applyNumberFormat="1" applyFont="1"/>
    <xf numFmtId="0" fontId="31" fillId="0" borderId="54" xfId="0" applyFont="1" applyBorder="1" applyAlignment="1">
      <alignment wrapText="1"/>
    </xf>
    <xf numFmtId="0" fontId="32" fillId="6" borderId="55" xfId="0" applyFont="1" applyFill="1" applyBorder="1" applyAlignment="1">
      <alignment horizontal="right"/>
    </xf>
    <xf numFmtId="8" fontId="32" fillId="6" borderId="56" xfId="0" applyNumberFormat="1" applyFont="1" applyFill="1" applyBorder="1"/>
    <xf numFmtId="1" fontId="30" fillId="0" borderId="0" xfId="0" applyNumberFormat="1" applyFont="1"/>
    <xf numFmtId="164" fontId="30" fillId="0" borderId="0" xfId="0" applyNumberFormat="1" applyFont="1"/>
    <xf numFmtId="167" fontId="68" fillId="12" borderId="45" xfId="0" applyNumberFormat="1" applyFont="1" applyFill="1" applyBorder="1"/>
    <xf numFmtId="0" fontId="67" fillId="0" borderId="0" xfId="0" applyFont="1" applyAlignment="1">
      <alignment horizontal="left"/>
    </xf>
    <xf numFmtId="167" fontId="64" fillId="0" borderId="0" xfId="0" applyNumberFormat="1" applyFont="1" applyAlignment="1">
      <alignment horizontal="left"/>
    </xf>
    <xf numFmtId="169" fontId="33" fillId="0" borderId="13" xfId="0" applyNumberFormat="1" applyFont="1" applyBorder="1"/>
    <xf numFmtId="0" fontId="55" fillId="51" borderId="42" xfId="0" applyFont="1" applyFill="1" applyBorder="1" applyAlignment="1">
      <alignment vertical="center" readingOrder="2"/>
    </xf>
    <xf numFmtId="0" fontId="55" fillId="51" borderId="0" xfId="0" applyFont="1" applyFill="1" applyAlignment="1">
      <alignment vertical="center" readingOrder="2"/>
    </xf>
    <xf numFmtId="172" fontId="62" fillId="0" borderId="0" xfId="0" applyNumberFormat="1" applyFont="1"/>
    <xf numFmtId="0" fontId="0" fillId="2" borderId="0" xfId="0" applyFill="1" applyAlignment="1">
      <alignment horizontal="center"/>
    </xf>
    <xf numFmtId="0" fontId="55" fillId="51" borderId="42" xfId="0" applyFont="1" applyFill="1" applyBorder="1" applyAlignment="1">
      <alignment horizontal="left" vertical="center" readingOrder="2"/>
    </xf>
    <xf numFmtId="0" fontId="55" fillId="51" borderId="0" xfId="0" applyFont="1" applyFill="1" applyAlignment="1">
      <alignment horizontal="left" vertical="center" readingOrder="2"/>
    </xf>
    <xf numFmtId="0" fontId="63" fillId="0" borderId="0" xfId="0" applyFont="1" applyAlignment="1">
      <alignment horizontal="center" vertical="center" textRotation="90" readingOrder="2"/>
    </xf>
    <xf numFmtId="0" fontId="17" fillId="8" borderId="0" xfId="0" applyFont="1" applyFill="1" applyAlignment="1">
      <alignment horizontal="center"/>
    </xf>
    <xf numFmtId="0" fontId="10" fillId="45" borderId="57" xfId="0" applyFont="1" applyFill="1" applyBorder="1" applyAlignment="1">
      <alignment horizontal="left" wrapText="1"/>
    </xf>
    <xf numFmtId="167" fontId="21" fillId="3" borderId="15" xfId="0" applyNumberFormat="1" applyFont="1" applyFill="1" applyBorder="1" applyAlignment="1">
      <alignment wrapText="1"/>
    </xf>
    <xf numFmtId="167" fontId="21" fillId="3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0" fillId="45" borderId="58" xfId="0" applyFont="1" applyFill="1" applyBorder="1" applyAlignment="1">
      <alignment horizontal="left" wrapText="1"/>
    </xf>
    <xf numFmtId="0" fontId="67" fillId="46" borderId="58" xfId="0" applyFont="1" applyFill="1" applyBorder="1" applyAlignment="1">
      <alignment horizontal="left" wrapText="1"/>
    </xf>
    <xf numFmtId="167" fontId="61" fillId="50" borderId="15" xfId="0" applyNumberFormat="1" applyFont="1" applyFill="1" applyBorder="1" applyAlignment="1">
      <alignment wrapText="1"/>
    </xf>
    <xf numFmtId="0" fontId="0" fillId="50" borderId="0" xfId="0" applyFill="1" applyAlignment="1">
      <alignment wrapText="1"/>
    </xf>
    <xf numFmtId="0" fontId="10" fillId="11" borderId="58" xfId="0" applyFont="1" applyFill="1" applyBorder="1" applyAlignment="1">
      <alignment horizontal="left" wrapText="1"/>
    </xf>
    <xf numFmtId="0" fontId="0" fillId="13" borderId="0" xfId="0" applyFill="1" applyAlignment="1">
      <alignment wrapText="1"/>
    </xf>
    <xf numFmtId="0" fontId="56" fillId="51" borderId="59" xfId="0" applyFont="1" applyFill="1" applyBorder="1" applyAlignment="1">
      <alignment horizontal="left" vertical="center" wrapText="1"/>
    </xf>
    <xf numFmtId="167" fontId="61" fillId="51" borderId="0" xfId="0" applyNumberFormat="1" applyFont="1" applyFill="1" applyAlignment="1">
      <alignment wrapText="1"/>
    </xf>
    <xf numFmtId="0" fontId="58" fillId="49" borderId="9" xfId="0" applyFont="1" applyFill="1" applyBorder="1" applyAlignment="1">
      <alignment horizontal="center" vertical="center" wrapText="1" readingOrder="2"/>
    </xf>
    <xf numFmtId="0" fontId="29" fillId="47" borderId="9" xfId="0" applyFont="1" applyFill="1" applyBorder="1" applyAlignment="1">
      <alignment horizontal="left" wrapText="1"/>
    </xf>
    <xf numFmtId="167" fontId="62" fillId="49" borderId="32" xfId="0" applyNumberFormat="1" applyFont="1" applyFill="1" applyBorder="1" applyAlignment="1">
      <alignment wrapText="1"/>
    </xf>
    <xf numFmtId="0" fontId="10" fillId="45" borderId="61" xfId="0" applyFont="1" applyFill="1" applyBorder="1" applyAlignment="1">
      <alignment horizontal="left" wrapText="1"/>
    </xf>
    <xf numFmtId="0" fontId="56" fillId="50" borderId="33" xfId="0" applyFont="1" applyFill="1" applyBorder="1" applyAlignment="1">
      <alignment horizontal="left" vertical="center" wrapText="1"/>
    </xf>
    <xf numFmtId="0" fontId="10" fillId="45" borderId="60" xfId="0" applyFont="1" applyFill="1" applyBorder="1" applyAlignment="1">
      <alignment horizontal="left" wrapText="1"/>
    </xf>
    <xf numFmtId="167" fontId="66" fillId="3" borderId="15" xfId="0" applyNumberFormat="1" applyFont="1" applyFill="1" applyBorder="1" applyAlignment="1">
      <alignment wrapText="1"/>
    </xf>
    <xf numFmtId="167" fontId="66" fillId="3" borderId="1" xfId="0" applyNumberFormat="1" applyFont="1" applyFill="1" applyBorder="1" applyAlignment="1">
      <alignment wrapText="1"/>
    </xf>
    <xf numFmtId="0" fontId="56" fillId="51" borderId="62" xfId="0" applyFont="1" applyFill="1" applyBorder="1" applyAlignment="1">
      <alignment horizontal="left" vertical="center" wrapText="1"/>
    </xf>
    <xf numFmtId="167" fontId="68" fillId="0" borderId="1" xfId="0" applyNumberFormat="1" applyFont="1" applyBorder="1" applyAlignment="1">
      <alignment wrapText="1"/>
    </xf>
    <xf numFmtId="167" fontId="0" fillId="0" borderId="0" xfId="0" applyNumberFormat="1" applyAlignment="1">
      <alignment wrapText="1"/>
    </xf>
    <xf numFmtId="164" fontId="12" fillId="0" borderId="0" xfId="0" applyNumberFormat="1" applyFont="1"/>
    <xf numFmtId="167" fontId="61" fillId="12" borderId="45" xfId="0" applyNumberFormat="1" applyFont="1" applyFill="1" applyBorder="1"/>
    <xf numFmtId="0" fontId="30" fillId="0" borderId="40" xfId="0" applyFont="1" applyBorder="1"/>
    <xf numFmtId="164" fontId="30" fillId="0" borderId="41" xfId="0" applyNumberFormat="1" applyFont="1" applyBorder="1"/>
    <xf numFmtId="0" fontId="75" fillId="0" borderId="42" xfId="0" applyFont="1" applyBorder="1" applyAlignment="1">
      <alignment horizontal="left"/>
    </xf>
    <xf numFmtId="164" fontId="30" fillId="0" borderId="43" xfId="0" applyNumberFormat="1" applyFont="1" applyBorder="1"/>
    <xf numFmtId="0" fontId="75" fillId="0" borderId="44" xfId="0" applyFont="1" applyBorder="1" applyAlignment="1">
      <alignment horizontal="left"/>
    </xf>
    <xf numFmtId="0" fontId="30" fillId="0" borderId="45" xfId="0" applyFont="1" applyBorder="1"/>
    <xf numFmtId="164" fontId="30" fillId="0" borderId="19" xfId="0" applyNumberFormat="1" applyFont="1" applyBorder="1"/>
    <xf numFmtId="0" fontId="10" fillId="11" borderId="59" xfId="0" applyFont="1" applyFill="1" applyBorder="1" applyAlignment="1">
      <alignment horizontal="left" wrapText="1"/>
    </xf>
    <xf numFmtId="167" fontId="21" fillId="3" borderId="0" xfId="0" applyNumberFormat="1" applyFont="1" applyFill="1" applyAlignment="1">
      <alignment wrapText="1"/>
    </xf>
    <xf numFmtId="167" fontId="68" fillId="0" borderId="0" xfId="0" applyNumberFormat="1" applyFont="1" applyAlignment="1">
      <alignment wrapText="1"/>
    </xf>
    <xf numFmtId="10" fontId="0" fillId="0" borderId="0" xfId="0" applyNumberFormat="1" applyAlignment="1">
      <alignment wrapText="1"/>
    </xf>
    <xf numFmtId="167" fontId="21" fillId="3" borderId="63" xfId="0" applyNumberFormat="1" applyFont="1" applyFill="1" applyBorder="1" applyAlignment="1">
      <alignment wrapText="1"/>
    </xf>
    <xf numFmtId="167" fontId="21" fillId="3" borderId="64" xfId="0" applyNumberFormat="1" applyFont="1" applyFill="1" applyBorder="1" applyAlignment="1">
      <alignment wrapText="1"/>
    </xf>
    <xf numFmtId="167" fontId="66" fillId="3" borderId="64" xfId="0" applyNumberFormat="1" applyFont="1" applyFill="1" applyBorder="1" applyAlignment="1">
      <alignment wrapText="1"/>
    </xf>
    <xf numFmtId="167" fontId="61" fillId="50" borderId="65" xfId="0" applyNumberFormat="1" applyFont="1" applyFill="1" applyBorder="1" applyAlignment="1">
      <alignment wrapText="1"/>
    </xf>
    <xf numFmtId="167" fontId="56" fillId="46" borderId="66" xfId="0" applyNumberFormat="1" applyFont="1" applyFill="1" applyBorder="1" applyAlignment="1">
      <alignment horizontal="center" wrapText="1"/>
    </xf>
    <xf numFmtId="167" fontId="62" fillId="49" borderId="14" xfId="0" applyNumberFormat="1" applyFont="1" applyFill="1" applyBorder="1" applyAlignment="1">
      <alignment wrapText="1"/>
    </xf>
    <xf numFmtId="167" fontId="61" fillId="50" borderId="64" xfId="0" applyNumberFormat="1" applyFont="1" applyFill="1" applyBorder="1" applyAlignment="1">
      <alignment wrapText="1"/>
    </xf>
    <xf numFmtId="167" fontId="61" fillId="51" borderId="59" xfId="0" applyNumberFormat="1" applyFont="1" applyFill="1" applyBorder="1" applyAlignment="1">
      <alignment wrapText="1"/>
    </xf>
    <xf numFmtId="167" fontId="62" fillId="49" borderId="9" xfId="0" applyNumberFormat="1" applyFont="1" applyFill="1" applyBorder="1" applyAlignment="1">
      <alignment wrapText="1"/>
    </xf>
    <xf numFmtId="3" fontId="16" fillId="0" borderId="0" xfId="0" applyNumberFormat="1" applyFont="1"/>
    <xf numFmtId="0" fontId="0" fillId="0" borderId="0" xfId="0" applyAlignment="1">
      <alignment horizontal="center"/>
    </xf>
    <xf numFmtId="0" fontId="55" fillId="0" borderId="0" xfId="0" applyFont="1" applyAlignment="1">
      <alignment wrapText="1"/>
    </xf>
    <xf numFmtId="0" fontId="28" fillId="0" borderId="0" xfId="0" applyFont="1"/>
    <xf numFmtId="44" fontId="0" fillId="0" borderId="0" xfId="80" applyFont="1"/>
    <xf numFmtId="0" fontId="10" fillId="45" borderId="67" xfId="0" applyFont="1" applyFill="1" applyBorder="1" applyAlignment="1">
      <alignment horizontal="left"/>
    </xf>
    <xf numFmtId="167" fontId="61" fillId="12" borderId="19" xfId="0" applyNumberFormat="1" applyFont="1" applyFill="1" applyBorder="1"/>
    <xf numFmtId="10" fontId="30" fillId="53" borderId="0" xfId="0" applyNumberFormat="1" applyFont="1" applyFill="1"/>
    <xf numFmtId="0" fontId="10" fillId="45" borderId="58" xfId="0" applyFont="1" applyFill="1" applyBorder="1" applyAlignment="1">
      <alignment horizontal="left" vertical="center" wrapText="1"/>
    </xf>
    <xf numFmtId="9" fontId="0" fillId="0" borderId="0" xfId="0" applyNumberFormat="1" applyAlignment="1">
      <alignment horizontal="center" wrapText="1"/>
    </xf>
    <xf numFmtId="44" fontId="0" fillId="0" borderId="0" xfId="81" applyFont="1" applyAlignment="1">
      <alignment horizontal="center" vertical="center"/>
    </xf>
    <xf numFmtId="167" fontId="66" fillId="12" borderId="43" xfId="0" applyNumberFormat="1" applyFont="1" applyFill="1" applyBorder="1" applyAlignment="1">
      <alignment horizontal="right"/>
    </xf>
    <xf numFmtId="167" fontId="68" fillId="12" borderId="19" xfId="0" applyNumberFormat="1" applyFont="1" applyFill="1" applyBorder="1" applyAlignment="1">
      <alignment horizontal="right"/>
    </xf>
    <xf numFmtId="1" fontId="0" fillId="12" borderId="0" xfId="0" applyNumberFormat="1" applyFill="1"/>
    <xf numFmtId="1" fontId="0" fillId="12" borderId="43" xfId="0" applyNumberFormat="1" applyFill="1" applyBorder="1"/>
    <xf numFmtId="0" fontId="79" fillId="0" borderId="19" xfId="0" applyFont="1" applyBorder="1" applyAlignment="1">
      <alignment horizontal="center" vertical="center"/>
    </xf>
    <xf numFmtId="8" fontId="79" fillId="0" borderId="19" xfId="0" applyNumberFormat="1" applyFont="1" applyBorder="1" applyAlignment="1">
      <alignment horizontal="center" vertical="center"/>
    </xf>
    <xf numFmtId="3" fontId="79" fillId="0" borderId="19" xfId="0" applyNumberFormat="1" applyFont="1" applyBorder="1" applyAlignment="1">
      <alignment horizontal="center" vertical="center"/>
    </xf>
    <xf numFmtId="0" fontId="34" fillId="0" borderId="19" xfId="0" applyFont="1" applyBorder="1" applyAlignment="1">
      <alignment vertical="center"/>
    </xf>
    <xf numFmtId="0" fontId="10" fillId="0" borderId="9" xfId="0" applyFont="1" applyBorder="1" applyAlignment="1">
      <alignment horizontal="left" wrapText="1"/>
    </xf>
    <xf numFmtId="0" fontId="67" fillId="46" borderId="62" xfId="0" applyFont="1" applyFill="1" applyBorder="1" applyAlignment="1">
      <alignment horizontal="right" wrapText="1"/>
    </xf>
    <xf numFmtId="167" fontId="61" fillId="51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 wrapText="1"/>
    </xf>
    <xf numFmtId="0" fontId="0" fillId="13" borderId="0" xfId="0" applyFill="1" applyAlignment="1">
      <alignment vertical="center" wrapText="1"/>
    </xf>
    <xf numFmtId="0" fontId="10" fillId="11" borderId="58" xfId="0" applyFont="1" applyFill="1" applyBorder="1" applyAlignment="1">
      <alignment horizontal="left" vertical="center" wrapText="1"/>
    </xf>
    <xf numFmtId="0" fontId="56" fillId="51" borderId="62" xfId="0" applyFont="1" applyFill="1" applyBorder="1" applyAlignment="1">
      <alignment horizontal="right" vertical="center" wrapText="1"/>
    </xf>
    <xf numFmtId="0" fontId="10" fillId="45" borderId="57" xfId="0" applyFont="1" applyFill="1" applyBorder="1" applyAlignment="1">
      <alignment horizontal="left" vertical="center" wrapText="1"/>
    </xf>
    <xf numFmtId="0" fontId="67" fillId="46" borderId="58" xfId="0" applyFont="1" applyFill="1" applyBorder="1" applyAlignment="1">
      <alignment horizontal="right" vertical="center" wrapText="1"/>
    </xf>
    <xf numFmtId="0" fontId="82" fillId="10" borderId="9" xfId="0" applyFont="1" applyFill="1" applyBorder="1" applyAlignment="1">
      <alignment horizontal="center"/>
    </xf>
    <xf numFmtId="0" fontId="29" fillId="47" borderId="36" xfId="0" applyFont="1" applyFill="1" applyBorder="1" applyAlignment="1">
      <alignment horizontal="center" wrapText="1"/>
    </xf>
    <xf numFmtId="8" fontId="79" fillId="0" borderId="18" xfId="0" applyNumberFormat="1" applyFont="1" applyBorder="1" applyAlignment="1">
      <alignment horizontal="center" vertical="center"/>
    </xf>
    <xf numFmtId="0" fontId="29" fillId="47" borderId="34" xfId="0" applyFont="1" applyFill="1" applyBorder="1" applyAlignment="1">
      <alignment horizontal="right" wrapText="1"/>
    </xf>
    <xf numFmtId="0" fontId="76" fillId="52" borderId="18" xfId="0" applyFont="1" applyFill="1" applyBorder="1" applyAlignment="1">
      <alignment horizontal="right" vertical="center"/>
    </xf>
    <xf numFmtId="0" fontId="76" fillId="52" borderId="16" xfId="0" applyFont="1" applyFill="1" applyBorder="1" applyAlignment="1">
      <alignment horizontal="center" vertical="center" wrapText="1"/>
    </xf>
    <xf numFmtId="0" fontId="76" fillId="52" borderId="17" xfId="0" applyFont="1" applyFill="1" applyBorder="1" applyAlignment="1">
      <alignment horizontal="center" vertical="center" wrapText="1"/>
    </xf>
    <xf numFmtId="0" fontId="76" fillId="52" borderId="6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10" fillId="45" borderId="48" xfId="0" applyFont="1" applyFill="1" applyBorder="1" applyAlignment="1">
      <alignment horizontal="left"/>
    </xf>
    <xf numFmtId="0" fontId="56" fillId="50" borderId="3" xfId="0" applyFont="1" applyFill="1" applyBorder="1" applyAlignment="1">
      <alignment horizontal="right" vertical="center"/>
    </xf>
    <xf numFmtId="0" fontId="10" fillId="11" borderId="21" xfId="0" applyFont="1" applyFill="1" applyBorder="1" applyAlignment="1">
      <alignment horizontal="left"/>
    </xf>
    <xf numFmtId="0" fontId="10" fillId="45" borderId="0" xfId="0" applyFont="1" applyFill="1" applyAlignment="1">
      <alignment horizontal="left" wrapText="1"/>
    </xf>
    <xf numFmtId="0" fontId="56" fillId="45" borderId="48" xfId="0" applyFont="1" applyFill="1" applyBorder="1" applyAlignment="1">
      <alignment horizontal="left"/>
    </xf>
    <xf numFmtId="49" fontId="76" fillId="54" borderId="0" xfId="0" applyNumberFormat="1" applyFont="1" applyFill="1" applyAlignment="1">
      <alignment horizontal="left"/>
    </xf>
    <xf numFmtId="3" fontId="84" fillId="0" borderId="0" xfId="0" applyNumberFormat="1" applyFont="1" applyAlignment="1">
      <alignment horizontal="center" vertical="center" wrapText="1"/>
    </xf>
    <xf numFmtId="168" fontId="0" fillId="0" borderId="0" xfId="80" applyNumberFormat="1" applyFont="1" applyBorder="1" applyAlignment="1">
      <alignment horizontal="left" vertical="center"/>
    </xf>
    <xf numFmtId="0" fontId="10" fillId="9" borderId="2" xfId="0" applyFont="1" applyFill="1" applyBorder="1" applyAlignment="1">
      <alignment horizontal="right"/>
    </xf>
    <xf numFmtId="164" fontId="85" fillId="55" borderId="0" xfId="80" applyNumberFormat="1" applyFont="1" applyFill="1" applyBorder="1" applyAlignment="1">
      <alignment horizontal="center"/>
    </xf>
    <xf numFmtId="44" fontId="85" fillId="0" borderId="0" xfId="0" applyNumberFormat="1" applyFont="1"/>
    <xf numFmtId="44" fontId="0" fillId="0" borderId="0" xfId="0" applyNumberFormat="1"/>
    <xf numFmtId="17" fontId="85" fillId="0" borderId="0" xfId="0" applyNumberFormat="1" applyFont="1"/>
    <xf numFmtId="44" fontId="26" fillId="0" borderId="0" xfId="0" applyNumberFormat="1" applyFont="1"/>
    <xf numFmtId="164" fontId="85" fillId="0" borderId="0" xfId="80" applyNumberFormat="1" applyFont="1" applyBorder="1"/>
    <xf numFmtId="44" fontId="85" fillId="0" borderId="0" xfId="0" applyNumberFormat="1" applyFont="1" applyAlignment="1">
      <alignment horizontal="center"/>
    </xf>
    <xf numFmtId="3" fontId="85" fillId="0" borderId="0" xfId="0" applyNumberFormat="1" applyFont="1"/>
    <xf numFmtId="164" fontId="86" fillId="0" borderId="0" xfId="0" applyNumberFormat="1" applyFont="1"/>
    <xf numFmtId="164" fontId="28" fillId="0" borderId="0" xfId="0" applyNumberFormat="1" applyFont="1"/>
    <xf numFmtId="0" fontId="60" fillId="49" borderId="36" xfId="0" applyFont="1" applyFill="1" applyBorder="1" applyAlignment="1">
      <alignment horizontal="center" vertical="center" textRotation="90" readingOrder="2"/>
    </xf>
    <xf numFmtId="0" fontId="58" fillId="49" borderId="35" xfId="0" applyFont="1" applyFill="1" applyBorder="1" applyAlignment="1">
      <alignment horizontal="center" vertical="center" readingOrder="2"/>
    </xf>
    <xf numFmtId="0" fontId="29" fillId="47" borderId="35" xfId="0" applyFont="1" applyFill="1" applyBorder="1" applyAlignment="1">
      <alignment horizontal="left"/>
    </xf>
    <xf numFmtId="167" fontId="62" fillId="49" borderId="14" xfId="0" applyNumberFormat="1" applyFont="1" applyFill="1" applyBorder="1"/>
    <xf numFmtId="167" fontId="62" fillId="49" borderId="32" xfId="0" applyNumberFormat="1" applyFont="1" applyFill="1" applyBorder="1"/>
    <xf numFmtId="169" fontId="83" fillId="0" borderId="0" xfId="0" applyNumberFormat="1" applyFont="1"/>
    <xf numFmtId="0" fontId="87" fillId="0" borderId="52" xfId="0" applyFont="1" applyBorder="1" applyAlignment="1">
      <alignment wrapText="1"/>
    </xf>
    <xf numFmtId="44" fontId="85" fillId="0" borderId="0" xfId="0" applyNumberFormat="1" applyFont="1" applyAlignment="1">
      <alignment horizontal="left"/>
    </xf>
    <xf numFmtId="3" fontId="85" fillId="0" borderId="0" xfId="0" applyNumberFormat="1" applyFont="1" applyAlignment="1">
      <alignment horizontal="left"/>
    </xf>
    <xf numFmtId="164" fontId="85" fillId="0" borderId="0" xfId="80" applyNumberFormat="1" applyFont="1" applyFill="1" applyBorder="1"/>
    <xf numFmtId="3" fontId="88" fillId="0" borderId="0" xfId="0" applyNumberFormat="1" applyFont="1" applyAlignment="1">
      <alignment horizontal="center" vertical="center" wrapText="1"/>
    </xf>
    <xf numFmtId="167" fontId="21" fillId="0" borderId="1" xfId="0" applyNumberFormat="1" applyFont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4" fontId="89" fillId="56" borderId="16" xfId="80" applyNumberFormat="1" applyFont="1" applyFill="1" applyBorder="1" applyAlignment="1">
      <alignment horizontal="right"/>
    </xf>
    <xf numFmtId="164" fontId="89" fillId="56" borderId="16" xfId="80" applyNumberFormat="1" applyFont="1" applyFill="1" applyBorder="1" applyAlignment="1">
      <alignment horizontal="center"/>
    </xf>
    <xf numFmtId="44" fontId="0" fillId="0" borderId="0" xfId="80" applyFont="1" applyAlignment="1">
      <alignment horizontal="right"/>
    </xf>
    <xf numFmtId="167" fontId="90" fillId="51" borderId="16" xfId="0" applyNumberFormat="1" applyFont="1" applyFill="1" applyBorder="1"/>
    <xf numFmtId="167" fontId="91" fillId="3" borderId="49" xfId="0" applyNumberFormat="1" applyFont="1" applyFill="1" applyBorder="1"/>
    <xf numFmtId="167" fontId="91" fillId="3" borderId="1" xfId="0" applyNumberFormat="1" applyFont="1" applyFill="1" applyBorder="1"/>
    <xf numFmtId="3" fontId="88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34" fillId="0" borderId="19" xfId="0" applyFont="1" applyBorder="1" applyAlignment="1">
      <alignment vertical="center" wrapText="1"/>
    </xf>
    <xf numFmtId="0" fontId="76" fillId="57" borderId="17" xfId="0" applyFont="1" applyFill="1" applyBorder="1" applyAlignment="1">
      <alignment horizontal="center" vertical="center" wrapText="1"/>
    </xf>
    <xf numFmtId="49" fontId="79" fillId="0" borderId="19" xfId="0" applyNumberFormat="1" applyFont="1" applyBorder="1" applyAlignment="1">
      <alignment horizontal="center" vertical="center" wrapText="1"/>
    </xf>
    <xf numFmtId="164" fontId="79" fillId="0" borderId="19" xfId="0" applyNumberFormat="1" applyFont="1" applyBorder="1" applyAlignment="1">
      <alignment horizontal="center" vertical="center" wrapText="1"/>
    </xf>
    <xf numFmtId="6" fontId="93" fillId="58" borderId="19" xfId="0" applyNumberFormat="1" applyFont="1" applyFill="1" applyBorder="1" applyAlignment="1">
      <alignment horizontal="center" vertical="center" wrapText="1"/>
    </xf>
    <xf numFmtId="6" fontId="93" fillId="59" borderId="19" xfId="0" applyNumberFormat="1" applyFont="1" applyFill="1" applyBorder="1" applyAlignment="1">
      <alignment horizontal="center" vertical="center" wrapText="1"/>
    </xf>
    <xf numFmtId="167" fontId="30" fillId="0" borderId="0" xfId="0" applyNumberFormat="1" applyFont="1"/>
    <xf numFmtId="1" fontId="0" fillId="0" borderId="41" xfId="0" applyNumberFormat="1" applyBorder="1"/>
    <xf numFmtId="0" fontId="74" fillId="0" borderId="42" xfId="0" applyFont="1" applyBorder="1" applyAlignment="1">
      <alignment horizontal="left"/>
    </xf>
    <xf numFmtId="167" fontId="0" fillId="0" borderId="43" xfId="0" applyNumberFormat="1" applyBorder="1"/>
    <xf numFmtId="0" fontId="74" fillId="0" borderId="44" xfId="0" applyFont="1" applyBorder="1" applyAlignment="1">
      <alignment horizontal="left"/>
    </xf>
    <xf numFmtId="0" fontId="0" fillId="0" borderId="45" xfId="0" applyBorder="1"/>
    <xf numFmtId="1" fontId="0" fillId="0" borderId="45" xfId="0" applyNumberFormat="1" applyBorder="1"/>
    <xf numFmtId="167" fontId="0" fillId="0" borderId="45" xfId="0" applyNumberFormat="1" applyBorder="1"/>
    <xf numFmtId="167" fontId="0" fillId="0" borderId="19" xfId="0" applyNumberFormat="1" applyBorder="1"/>
    <xf numFmtId="167" fontId="0" fillId="0" borderId="40" xfId="0" applyNumberFormat="1" applyBorder="1"/>
    <xf numFmtId="167" fontId="0" fillId="0" borderId="41" xfId="0" applyNumberFormat="1" applyBorder="1"/>
    <xf numFmtId="2" fontId="85" fillId="0" borderId="0" xfId="80" applyNumberFormat="1" applyFont="1" applyFill="1" applyBorder="1"/>
    <xf numFmtId="2" fontId="85" fillId="0" borderId="0" xfId="80" applyNumberFormat="1" applyFont="1" applyBorder="1"/>
    <xf numFmtId="0" fontId="76" fillId="52" borderId="0" xfId="0" applyFont="1" applyFill="1" applyAlignment="1">
      <alignment horizontal="center" vertical="center" wrapText="1"/>
    </xf>
    <xf numFmtId="8" fontId="79" fillId="0" borderId="0" xfId="0" applyNumberFormat="1" applyFont="1" applyAlignment="1">
      <alignment horizontal="center" vertical="center"/>
    </xf>
    <xf numFmtId="0" fontId="17" fillId="8" borderId="20" xfId="0" applyFont="1" applyFill="1" applyBorder="1" applyAlignment="1">
      <alignment horizontal="center"/>
    </xf>
    <xf numFmtId="0" fontId="17" fillId="8" borderId="0" xfId="0" applyFont="1" applyFill="1" applyAlignment="1">
      <alignment horizontal="center"/>
    </xf>
    <xf numFmtId="0" fontId="63" fillId="0" borderId="0" xfId="0" applyFont="1" applyAlignment="1">
      <alignment horizontal="center" vertical="center" textRotation="90" readingOrder="2"/>
    </xf>
    <xf numFmtId="0" fontId="36" fillId="0" borderId="0" xfId="0" applyFont="1" applyAlignment="1">
      <alignment horizontal="left"/>
    </xf>
    <xf numFmtId="0" fontId="60" fillId="49" borderId="9" xfId="0" applyFont="1" applyFill="1" applyBorder="1" applyAlignment="1">
      <alignment horizontal="center" vertical="center" textRotation="90" readingOrder="2"/>
    </xf>
    <xf numFmtId="0" fontId="58" fillId="50" borderId="9" xfId="0" applyFont="1" applyFill="1" applyBorder="1" applyAlignment="1">
      <alignment horizontal="center" vertical="center" textRotation="90" wrapText="1" readingOrder="2"/>
    </xf>
    <xf numFmtId="0" fontId="58" fillId="12" borderId="34" xfId="0" applyFont="1" applyFill="1" applyBorder="1" applyAlignment="1">
      <alignment horizontal="center" vertical="center" textRotation="90" readingOrder="2"/>
    </xf>
    <xf numFmtId="0" fontId="58" fillId="12" borderId="32" xfId="0" applyFont="1" applyFill="1" applyBorder="1" applyAlignment="1">
      <alignment horizontal="center" vertical="center" textRotation="90" readingOrder="2"/>
    </xf>
    <xf numFmtId="0" fontId="59" fillId="13" borderId="36" xfId="0" applyFont="1" applyFill="1" applyBorder="1" applyAlignment="1">
      <alignment horizontal="center" vertical="center" textRotation="90" readingOrder="2"/>
    </xf>
    <xf numFmtId="0" fontId="58" fillId="48" borderId="35" xfId="0" applyFont="1" applyFill="1" applyBorder="1" applyAlignment="1">
      <alignment horizontal="center" vertical="center" textRotation="90" readingOrder="2"/>
    </xf>
    <xf numFmtId="0" fontId="58" fillId="48" borderId="7" xfId="0" applyFont="1" applyFill="1" applyBorder="1" applyAlignment="1">
      <alignment horizontal="center" vertical="center" textRotation="90" readingOrder="2"/>
    </xf>
    <xf numFmtId="0" fontId="58" fillId="48" borderId="37" xfId="0" applyFont="1" applyFill="1" applyBorder="1" applyAlignment="1">
      <alignment horizontal="center" vertical="center" textRotation="90" readingOrder="2"/>
    </xf>
    <xf numFmtId="0" fontId="65" fillId="51" borderId="39" xfId="0" applyFont="1" applyFill="1" applyBorder="1" applyAlignment="1">
      <alignment horizontal="left" vertical="center" readingOrder="2"/>
    </xf>
    <xf numFmtId="0" fontId="65" fillId="51" borderId="40" xfId="0" applyFont="1" applyFill="1" applyBorder="1" applyAlignment="1">
      <alignment horizontal="left" vertical="center" readingOrder="2"/>
    </xf>
    <xf numFmtId="0" fontId="55" fillId="51" borderId="42" xfId="0" applyFont="1" applyFill="1" applyBorder="1" applyAlignment="1">
      <alignment horizontal="left" vertical="center" readingOrder="2"/>
    </xf>
    <xf numFmtId="0" fontId="55" fillId="51" borderId="0" xfId="0" applyFont="1" applyFill="1" applyAlignment="1">
      <alignment horizontal="left" vertical="center" readingOrder="2"/>
    </xf>
    <xf numFmtId="0" fontId="57" fillId="51" borderId="44" xfId="0" applyFont="1" applyFill="1" applyBorder="1" applyAlignment="1">
      <alignment horizontal="left" vertical="center" readingOrder="2"/>
    </xf>
    <xf numFmtId="0" fontId="57" fillId="51" borderId="45" xfId="0" applyFont="1" applyFill="1" applyBorder="1" applyAlignment="1">
      <alignment horizontal="left" vertical="center" readingOrder="2"/>
    </xf>
    <xf numFmtId="0" fontId="81" fillId="0" borderId="35" xfId="0" applyFont="1" applyBorder="1" applyAlignment="1">
      <alignment horizontal="center"/>
    </xf>
    <xf numFmtId="0" fontId="81" fillId="0" borderId="32" xfId="0" applyFont="1" applyBorder="1" applyAlignment="1">
      <alignment horizontal="center"/>
    </xf>
    <xf numFmtId="0" fontId="58" fillId="50" borderId="31" xfId="0" applyFont="1" applyFill="1" applyBorder="1" applyAlignment="1">
      <alignment horizontal="center" vertical="center" textRotation="90" wrapText="1" readingOrder="2"/>
    </xf>
    <xf numFmtId="0" fontId="58" fillId="50" borderId="59" xfId="0" applyFont="1" applyFill="1" applyBorder="1" applyAlignment="1">
      <alignment horizontal="center" vertical="center" textRotation="90" wrapText="1" readingOrder="2"/>
    </xf>
    <xf numFmtId="0" fontId="58" fillId="50" borderId="62" xfId="0" applyFont="1" applyFill="1" applyBorder="1" applyAlignment="1">
      <alignment horizontal="center" vertical="center" textRotation="90" wrapText="1" readingOrder="2"/>
    </xf>
    <xf numFmtId="0" fontId="69" fillId="0" borderId="0" xfId="0" applyFont="1" applyAlignment="1">
      <alignment horizontal="center"/>
    </xf>
    <xf numFmtId="0" fontId="69" fillId="0" borderId="11" xfId="0" applyFont="1" applyBorder="1" applyAlignment="1">
      <alignment horizontal="center"/>
    </xf>
    <xf numFmtId="0" fontId="58" fillId="12" borderId="34" xfId="0" applyFont="1" applyFill="1" applyBorder="1" applyAlignment="1">
      <alignment horizontal="center" vertical="center" textRotation="90" wrapText="1" readingOrder="2"/>
    </xf>
    <xf numFmtId="0" fontId="58" fillId="12" borderId="32" xfId="0" applyFont="1" applyFill="1" applyBorder="1" applyAlignment="1">
      <alignment horizontal="center" vertical="center" textRotation="90" wrapText="1" readingOrder="2"/>
    </xf>
    <xf numFmtId="0" fontId="16" fillId="0" borderId="0" xfId="0" applyFont="1" applyAlignment="1">
      <alignment horizontal="center"/>
    </xf>
    <xf numFmtId="0" fontId="22" fillId="4" borderId="36" xfId="0" applyFont="1" applyFill="1" applyBorder="1" applyAlignment="1">
      <alignment horizontal="center"/>
    </xf>
    <xf numFmtId="0" fontId="22" fillId="4" borderId="38" xfId="0" applyFont="1" applyFill="1" applyBorder="1" applyAlignment="1">
      <alignment horizontal="center"/>
    </xf>
    <xf numFmtId="0" fontId="22" fillId="4" borderId="34" xfId="0" applyFont="1" applyFill="1" applyBorder="1" applyAlignment="1">
      <alignment horizontal="center"/>
    </xf>
    <xf numFmtId="0" fontId="36" fillId="0" borderId="8" xfId="0" applyFont="1" applyBorder="1" applyAlignment="1">
      <alignment horizontal="left"/>
    </xf>
    <xf numFmtId="0" fontId="80" fillId="0" borderId="36" xfId="0" applyFont="1" applyBorder="1" applyAlignment="1">
      <alignment horizontal="center"/>
    </xf>
    <xf numFmtId="0" fontId="80" fillId="0" borderId="34" xfId="0" applyFont="1" applyBorder="1" applyAlignment="1">
      <alignment horizontal="center"/>
    </xf>
    <xf numFmtId="0" fontId="58" fillId="50" borderId="31" xfId="0" applyFont="1" applyFill="1" applyBorder="1" applyAlignment="1">
      <alignment horizontal="center" vertical="center" wrapText="1" readingOrder="2"/>
    </xf>
    <xf numFmtId="0" fontId="58" fillId="50" borderId="59" xfId="0" applyFont="1" applyFill="1" applyBorder="1" applyAlignment="1">
      <alignment horizontal="center" vertical="center" wrapText="1" readingOrder="2"/>
    </xf>
    <xf numFmtId="0" fontId="58" fillId="50" borderId="62" xfId="0" applyFont="1" applyFill="1" applyBorder="1" applyAlignment="1">
      <alignment horizontal="center" vertical="center" wrapText="1" readingOrder="2"/>
    </xf>
    <xf numFmtId="0" fontId="58" fillId="12" borderId="31" xfId="0" applyFont="1" applyFill="1" applyBorder="1" applyAlignment="1">
      <alignment horizontal="center" vertical="center" wrapText="1" readingOrder="2"/>
    </xf>
    <xf numFmtId="0" fontId="58" fillId="12" borderId="62" xfId="0" applyFont="1" applyFill="1" applyBorder="1" applyAlignment="1">
      <alignment horizontal="center" vertical="center" wrapText="1" readingOrder="2"/>
    </xf>
    <xf numFmtId="49" fontId="79" fillId="0" borderId="46" xfId="0" applyNumberFormat="1" applyFont="1" applyBorder="1" applyAlignment="1">
      <alignment horizontal="center" vertical="center" wrapText="1"/>
    </xf>
    <xf numFmtId="49" fontId="79" fillId="0" borderId="47" xfId="0" applyNumberFormat="1" applyFont="1" applyBorder="1" applyAlignment="1">
      <alignment horizontal="center" vertical="center" wrapText="1"/>
    </xf>
    <xf numFmtId="49" fontId="79" fillId="0" borderId="17" xfId="0" applyNumberFormat="1" applyFont="1" applyBorder="1" applyAlignment="1">
      <alignment horizontal="center" vertical="center" wrapText="1"/>
    </xf>
    <xf numFmtId="164" fontId="79" fillId="0" borderId="46" xfId="0" applyNumberFormat="1" applyFont="1" applyBorder="1" applyAlignment="1">
      <alignment horizontal="center" vertical="center" wrapText="1"/>
    </xf>
    <xf numFmtId="164" fontId="79" fillId="0" borderId="17" xfId="0" applyNumberFormat="1" applyFont="1" applyBorder="1" applyAlignment="1">
      <alignment horizontal="center" vertical="center" wrapText="1"/>
    </xf>
    <xf numFmtId="164" fontId="79" fillId="0" borderId="47" xfId="0" applyNumberFormat="1" applyFont="1" applyBorder="1" applyAlignment="1">
      <alignment horizontal="center" vertical="center" wrapText="1"/>
    </xf>
    <xf numFmtId="0" fontId="79" fillId="0" borderId="69" xfId="0" applyFont="1" applyBorder="1" applyAlignment="1">
      <alignment horizontal="center" vertical="center" wrapText="1"/>
    </xf>
    <xf numFmtId="0" fontId="79" fillId="0" borderId="18" xfId="0" applyFont="1" applyBorder="1" applyAlignment="1">
      <alignment horizontal="center" vertical="center" wrapText="1"/>
    </xf>
    <xf numFmtId="0" fontId="76" fillId="57" borderId="69" xfId="0" applyFont="1" applyFill="1" applyBorder="1" applyAlignment="1">
      <alignment vertical="center" wrapText="1"/>
    </xf>
    <xf numFmtId="0" fontId="76" fillId="57" borderId="18" xfId="0" applyFont="1" applyFill="1" applyBorder="1" applyAlignment="1">
      <alignment vertical="center" wrapText="1"/>
    </xf>
    <xf numFmtId="0" fontId="76" fillId="57" borderId="39" xfId="0" applyFont="1" applyFill="1" applyBorder="1" applyAlignment="1">
      <alignment vertical="center" wrapText="1"/>
    </xf>
    <xf numFmtId="0" fontId="76" fillId="57" borderId="41" xfId="0" applyFont="1" applyFill="1" applyBorder="1" applyAlignment="1">
      <alignment vertical="center" wrapText="1"/>
    </xf>
    <xf numFmtId="0" fontId="76" fillId="57" borderId="44" xfId="0" applyFont="1" applyFill="1" applyBorder="1" applyAlignment="1">
      <alignment vertical="center" wrapText="1"/>
    </xf>
    <xf numFmtId="0" fontId="76" fillId="57" borderId="19" xfId="0" applyFont="1" applyFill="1" applyBorder="1" applyAlignment="1">
      <alignment vertical="center" wrapText="1"/>
    </xf>
    <xf numFmtId="0" fontId="93" fillId="59" borderId="46" xfId="0" applyFont="1" applyFill="1" applyBorder="1" applyAlignment="1">
      <alignment vertical="center" wrapText="1"/>
    </xf>
    <xf numFmtId="0" fontId="93" fillId="59" borderId="17" xfId="0" applyFont="1" applyFill="1" applyBorder="1" applyAlignment="1">
      <alignment vertical="center" wrapText="1"/>
    </xf>
    <xf numFmtId="0" fontId="58" fillId="0" borderId="39" xfId="0" applyFont="1" applyBorder="1" applyAlignment="1">
      <alignment horizontal="center" vertical="center"/>
    </xf>
    <xf numFmtId="0" fontId="58" fillId="0" borderId="40" xfId="0" applyFont="1" applyBorder="1" applyAlignment="1">
      <alignment horizontal="center" vertical="center"/>
    </xf>
    <xf numFmtId="0" fontId="58" fillId="0" borderId="41" xfId="0" applyFont="1" applyBorder="1" applyAlignment="1">
      <alignment horizontal="center" vertical="center"/>
    </xf>
    <xf numFmtId="0" fontId="58" fillId="0" borderId="44" xfId="0" applyFont="1" applyBorder="1" applyAlignment="1">
      <alignment horizontal="center" vertical="center"/>
    </xf>
    <xf numFmtId="0" fontId="58" fillId="0" borderId="45" xfId="0" applyFont="1" applyBorder="1" applyAlignment="1">
      <alignment horizontal="center" vertical="center"/>
    </xf>
    <xf numFmtId="0" fontId="58" fillId="0" borderId="19" xfId="0" applyFont="1" applyBorder="1" applyAlignment="1">
      <alignment horizontal="center" vertical="center"/>
    </xf>
    <xf numFmtId="0" fontId="93" fillId="58" borderId="46" xfId="0" applyFont="1" applyFill="1" applyBorder="1" applyAlignment="1">
      <alignment vertical="center" wrapText="1"/>
    </xf>
    <xf numFmtId="0" fontId="93" fillId="58" borderId="17" xfId="0" applyFont="1" applyFill="1" applyBorder="1" applyAlignment="1">
      <alignment vertical="center" wrapText="1"/>
    </xf>
    <xf numFmtId="0" fontId="76" fillId="0" borderId="46" xfId="0" applyFont="1" applyBorder="1" applyAlignment="1">
      <alignment horizontal="left" vertical="center"/>
    </xf>
    <xf numFmtId="0" fontId="76" fillId="0" borderId="47" xfId="0" applyFont="1" applyBorder="1" applyAlignment="1">
      <alignment horizontal="left" vertical="center"/>
    </xf>
    <xf numFmtId="0" fontId="76" fillId="0" borderId="17" xfId="0" applyFont="1" applyBorder="1" applyAlignment="1">
      <alignment horizontal="left" vertical="center"/>
    </xf>
    <xf numFmtId="8" fontId="79" fillId="0" borderId="69" xfId="0" applyNumberFormat="1" applyFont="1" applyBorder="1" applyAlignment="1">
      <alignment horizontal="center" vertical="center"/>
    </xf>
    <xf numFmtId="8" fontId="79" fillId="0" borderId="68" xfId="0" applyNumberFormat="1" applyFont="1" applyBorder="1" applyAlignment="1">
      <alignment horizontal="center" vertical="center"/>
    </xf>
    <xf numFmtId="8" fontId="79" fillId="0" borderId="18" xfId="0" applyNumberFormat="1" applyFont="1" applyBorder="1" applyAlignment="1">
      <alignment horizontal="center" vertical="center"/>
    </xf>
    <xf numFmtId="0" fontId="76" fillId="0" borderId="69" xfId="0" applyFont="1" applyBorder="1" applyAlignment="1">
      <alignment horizontal="right" vertical="center"/>
    </xf>
    <xf numFmtId="0" fontId="76" fillId="0" borderId="18" xfId="0" applyFont="1" applyBorder="1" applyAlignment="1">
      <alignment horizontal="right" vertical="center"/>
    </xf>
    <xf numFmtId="0" fontId="76" fillId="52" borderId="69" xfId="0" applyFont="1" applyFill="1" applyBorder="1" applyAlignment="1">
      <alignment horizontal="center" vertical="center" wrapText="1"/>
    </xf>
    <xf numFmtId="0" fontId="76" fillId="52" borderId="18" xfId="0" applyFont="1" applyFill="1" applyBorder="1" applyAlignment="1">
      <alignment horizontal="center" vertical="center" wrapText="1"/>
    </xf>
    <xf numFmtId="0" fontId="76" fillId="52" borderId="69" xfId="0" applyFont="1" applyFill="1" applyBorder="1" applyAlignment="1">
      <alignment horizontal="right" vertical="center"/>
    </xf>
    <xf numFmtId="0" fontId="76" fillId="52" borderId="68" xfId="0" applyFont="1" applyFill="1" applyBorder="1" applyAlignment="1">
      <alignment horizontal="right" vertical="center"/>
    </xf>
    <xf numFmtId="0" fontId="76" fillId="52" borderId="18" xfId="0" applyFont="1" applyFill="1" applyBorder="1" applyAlignment="1">
      <alignment horizontal="right" vertical="center"/>
    </xf>
    <xf numFmtId="9" fontId="0" fillId="0" borderId="0" xfId="0" applyNumberFormat="1" applyAlignment="1">
      <alignment horizontal="center" vertical="center" wrapText="1"/>
    </xf>
    <xf numFmtId="0" fontId="69" fillId="0" borderId="36" xfId="0" applyFont="1" applyBorder="1" applyAlignment="1">
      <alignment horizontal="center"/>
    </xf>
    <xf numFmtId="0" fontId="69" fillId="0" borderId="34" xfId="0" applyFont="1" applyBorder="1" applyAlignment="1">
      <alignment horizontal="center"/>
    </xf>
    <xf numFmtId="0" fontId="58" fillId="12" borderId="59" xfId="0" applyFont="1" applyFill="1" applyBorder="1" applyAlignment="1">
      <alignment horizontal="center" vertical="center" wrapText="1" readingOrder="2"/>
    </xf>
    <xf numFmtId="0" fontId="0" fillId="0" borderId="8" xfId="0" applyBorder="1" applyAlignment="1">
      <alignment horizontal="center"/>
    </xf>
  </cellXfs>
  <cellStyles count="84">
    <cellStyle name="20% - Èmfasi1" xfId="28" builtinId="30" customBuiltin="1"/>
    <cellStyle name="20% - Èmfasi2" xfId="32" builtinId="34" customBuiltin="1"/>
    <cellStyle name="20% - Èmfasi3" xfId="36" builtinId="38" customBuiltin="1"/>
    <cellStyle name="20% - Èmfasi4" xfId="40" builtinId="42" customBuiltin="1"/>
    <cellStyle name="20% - Èmfasi5" xfId="44" builtinId="46" customBuiltin="1"/>
    <cellStyle name="20% - Èmfasi6" xfId="48" builtinId="50" customBuiltin="1"/>
    <cellStyle name="20% - Énfasis1 2" xfId="56" xr:uid="{00000000-0005-0000-0000-000001000000}"/>
    <cellStyle name="20% - Énfasis2 2" xfId="59" xr:uid="{00000000-0005-0000-0000-000003000000}"/>
    <cellStyle name="20% - Énfasis3 2" xfId="62" xr:uid="{00000000-0005-0000-0000-000005000000}"/>
    <cellStyle name="20% - Énfasis4 2" xfId="65" xr:uid="{00000000-0005-0000-0000-000007000000}"/>
    <cellStyle name="20% - Énfasis5 2" xfId="68" xr:uid="{00000000-0005-0000-0000-000009000000}"/>
    <cellStyle name="20% - Énfasis6 2" xfId="71" xr:uid="{00000000-0005-0000-0000-00000B000000}"/>
    <cellStyle name="40% - Èmfasi1" xfId="29" builtinId="31" customBuiltin="1"/>
    <cellStyle name="40% - Èmfasi2" xfId="33" builtinId="35" customBuiltin="1"/>
    <cellStyle name="40% - Èmfasi3" xfId="37" builtinId="39" customBuiltin="1"/>
    <cellStyle name="40% - Èmfasi4" xfId="41" builtinId="43" customBuiltin="1"/>
    <cellStyle name="40% - Èmfasi5" xfId="45" builtinId="47" customBuiltin="1"/>
    <cellStyle name="40% - Èmfasi6" xfId="49" builtinId="51" customBuiltin="1"/>
    <cellStyle name="40% - Énfasis1 2" xfId="57" xr:uid="{00000000-0005-0000-0000-00000D000000}"/>
    <cellStyle name="40% - Énfasis2 2" xfId="60" xr:uid="{00000000-0005-0000-0000-00000F000000}"/>
    <cellStyle name="40% - Énfasis3 2" xfId="63" xr:uid="{00000000-0005-0000-0000-000011000000}"/>
    <cellStyle name="40% - Énfasis4 2" xfId="66" xr:uid="{00000000-0005-0000-0000-000013000000}"/>
    <cellStyle name="40% - Énfasis5 2" xfId="69" xr:uid="{00000000-0005-0000-0000-000015000000}"/>
    <cellStyle name="40% - Énfasis6 2" xfId="72" xr:uid="{00000000-0005-0000-0000-000017000000}"/>
    <cellStyle name="60% - Èmfasi1" xfId="30" builtinId="32" customBuiltin="1"/>
    <cellStyle name="60% - Èmfasi2" xfId="34" builtinId="36" customBuiltin="1"/>
    <cellStyle name="60% - Èmfasi3" xfId="38" builtinId="40" customBuiltin="1"/>
    <cellStyle name="60% - Èmfasi4" xfId="42" builtinId="44" customBuiltin="1"/>
    <cellStyle name="60% - Èmfasi5" xfId="46" builtinId="48" customBuiltin="1"/>
    <cellStyle name="60% - Èmfasi6" xfId="50" builtinId="52" customBuiltin="1"/>
    <cellStyle name="60% - Énfasis1 2" xfId="58" xr:uid="{00000000-0005-0000-0000-000019000000}"/>
    <cellStyle name="60% - Énfasis2 2" xfId="61" xr:uid="{00000000-0005-0000-0000-00001B000000}"/>
    <cellStyle name="60% - Énfasis3 2" xfId="64" xr:uid="{00000000-0005-0000-0000-00001D000000}"/>
    <cellStyle name="60% - Énfasis4 2" xfId="67" xr:uid="{00000000-0005-0000-0000-00001F000000}"/>
    <cellStyle name="60% - Énfasis5 2" xfId="70" xr:uid="{00000000-0005-0000-0000-000021000000}"/>
    <cellStyle name="60% - Énfasis6 2" xfId="73" xr:uid="{00000000-0005-0000-0000-000023000000}"/>
    <cellStyle name="Bé" xfId="16" builtinId="26" customBuiltin="1"/>
    <cellStyle name="Càlcul" xfId="21" builtinId="22" customBuiltin="1"/>
    <cellStyle name="Cel·la de comprovació" xfId="23" builtinId="23" customBuiltin="1"/>
    <cellStyle name="Cel·la enllaçada" xfId="22" builtinId="24" customBuiltin="1"/>
    <cellStyle name="Èmfasi1" xfId="27" builtinId="29" customBuiltin="1"/>
    <cellStyle name="Èmfasi2" xfId="31" builtinId="33" customBuiltin="1"/>
    <cellStyle name="Èmfasi3" xfId="35" builtinId="37" customBuiltin="1"/>
    <cellStyle name="Èmfasi4" xfId="39" builtinId="41" customBuiltin="1"/>
    <cellStyle name="Èmfasi5" xfId="43" builtinId="45" customBuiltin="1"/>
    <cellStyle name="Èmfasi6" xfId="47" builtinId="49" customBuiltin="1"/>
    <cellStyle name="Entrada" xfId="19" builtinId="20" customBuiltin="1"/>
    <cellStyle name="Incorrecte" xfId="17" builtinId="27" customBuiltin="1"/>
    <cellStyle name="Moneda" xfId="80" builtinId="4"/>
    <cellStyle name="Moneda 2" xfId="8" xr:uid="{00000000-0005-0000-0000-000032000000}"/>
    <cellStyle name="Moneda 3" xfId="77" xr:uid="{00000000-0005-0000-0000-000033000000}"/>
    <cellStyle name="Moneda 4" xfId="81" xr:uid="{00000000-0005-0000-0000-000034000000}"/>
    <cellStyle name="Neutral" xfId="18" builtinId="28" customBuiltin="1"/>
    <cellStyle name="Normal" xfId="0" builtinId="0"/>
    <cellStyle name="Normal 2" xfId="2" xr:uid="{00000000-0005-0000-0000-000037000000}"/>
    <cellStyle name="Normal 3" xfId="4" xr:uid="{00000000-0005-0000-0000-000038000000}"/>
    <cellStyle name="Normal 3 2" xfId="6" xr:uid="{00000000-0005-0000-0000-000039000000}"/>
    <cellStyle name="Normal 3 2 2" xfId="76" xr:uid="{00000000-0005-0000-0000-00003A000000}"/>
    <cellStyle name="Normal 4" xfId="3" xr:uid="{00000000-0005-0000-0000-00003B000000}"/>
    <cellStyle name="Normal 5" xfId="5" xr:uid="{00000000-0005-0000-0000-00003C000000}"/>
    <cellStyle name="Normal 5 2" xfId="75" xr:uid="{00000000-0005-0000-0000-00003D000000}"/>
    <cellStyle name="Normal 6" xfId="9" xr:uid="{00000000-0005-0000-0000-00003E000000}"/>
    <cellStyle name="Normal 7" xfId="10" xr:uid="{00000000-0005-0000-0000-00003F000000}"/>
    <cellStyle name="Normal 8" xfId="51" xr:uid="{00000000-0005-0000-0000-000040000000}"/>
    <cellStyle name="Normal 8 2" xfId="79" xr:uid="{00000000-0005-0000-0000-000041000000}"/>
    <cellStyle name="Normal 8 3" xfId="83" xr:uid="{00000000-0005-0000-0000-000042000000}"/>
    <cellStyle name="Normal 9" xfId="54" xr:uid="{00000000-0005-0000-0000-000043000000}"/>
    <cellStyle name="Normal 9 2" xfId="78" xr:uid="{00000000-0005-0000-0000-000044000000}"/>
    <cellStyle name="Normal 9 3" xfId="82" xr:uid="{00000000-0005-0000-0000-000045000000}"/>
    <cellStyle name="Notas 2" xfId="52" xr:uid="{00000000-0005-0000-0000-000046000000}"/>
    <cellStyle name="Notas 3" xfId="55" xr:uid="{00000000-0005-0000-0000-000047000000}"/>
    <cellStyle name="Percentatge" xfId="1" builtinId="5"/>
    <cellStyle name="Porcentaje 2" xfId="7" xr:uid="{00000000-0005-0000-0000-000048000000}"/>
    <cellStyle name="Porcentaje 3" xfId="53" xr:uid="{00000000-0005-0000-0000-000049000000}"/>
    <cellStyle name="Porcentaje 4" xfId="74" xr:uid="{00000000-0005-0000-0000-00004A000000}"/>
    <cellStyle name="Resultat" xfId="20" builtinId="21" customBuiltin="1"/>
    <cellStyle name="Text d'advertiment" xfId="24" builtinId="11" customBuiltin="1"/>
    <cellStyle name="Text explicatiu" xfId="25" builtinId="53" customBuiltin="1"/>
    <cellStyle name="Títol" xfId="11" builtinId="15" customBuiltin="1"/>
    <cellStyle name="Títol 1" xfId="12" builtinId="16" customBuiltin="1"/>
    <cellStyle name="Títol 2" xfId="13" builtinId="17" customBuiltin="1"/>
    <cellStyle name="Títol 3" xfId="14" builtinId="18" customBuiltin="1"/>
    <cellStyle name="Títol 4" xfId="15" builtinId="19" customBuiltin="1"/>
    <cellStyle name="Total" xfId="26" builtinId="25" customBuiltin="1"/>
  </cellStyles>
  <dxfs count="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A1:BW67"/>
  <sheetViews>
    <sheetView topLeftCell="A8" zoomScale="90" zoomScaleNormal="90" workbookViewId="0">
      <selection activeCell="A9" sqref="A9"/>
    </sheetView>
  </sheetViews>
  <sheetFormatPr defaultColWidth="11.42578125" defaultRowHeight="12.75"/>
  <cols>
    <col min="1" max="1" width="26.85546875" customWidth="1"/>
    <col min="2" max="2" width="7.140625" customWidth="1"/>
    <col min="3" max="3" width="52.42578125" customWidth="1"/>
    <col min="4" max="4" width="15.28515625" customWidth="1"/>
    <col min="5" max="5" width="13.85546875" customWidth="1"/>
    <col min="6" max="6" width="15" customWidth="1"/>
    <col min="7" max="7" width="15.140625" customWidth="1"/>
    <col min="8" max="8" width="14.85546875" customWidth="1"/>
    <col min="9" max="9" width="14.5703125" bestFit="1" customWidth="1"/>
    <col min="10" max="10" width="15.5703125" customWidth="1"/>
    <col min="11" max="11" width="15" customWidth="1"/>
    <col min="12" max="12" width="14.7109375" customWidth="1"/>
    <col min="13" max="13" width="13.42578125" customWidth="1"/>
    <col min="14" max="14" width="14.5703125" customWidth="1"/>
    <col min="15" max="15" width="13.5703125" customWidth="1"/>
    <col min="16" max="16" width="15.28515625" customWidth="1"/>
    <col min="17" max="17" width="16.85546875" customWidth="1"/>
    <col min="18" max="18" width="15.140625" customWidth="1"/>
    <col min="19" max="19" width="21.5703125" customWidth="1"/>
    <col min="20" max="20" width="14.7109375" customWidth="1"/>
    <col min="21" max="21" width="13.85546875" customWidth="1"/>
    <col min="22" max="22" width="13.140625" customWidth="1"/>
    <col min="23" max="23" width="13.28515625" customWidth="1"/>
    <col min="24" max="24" width="17.85546875" bestFit="1" customWidth="1"/>
    <col min="25" max="25" width="24.7109375" customWidth="1"/>
    <col min="26" max="26" width="14.140625" bestFit="1" customWidth="1"/>
    <col min="27" max="27" width="14.85546875" customWidth="1"/>
  </cols>
  <sheetData>
    <row r="1" spans="1:24" ht="12.75" hidden="1" customHeight="1">
      <c r="L1" s="1"/>
    </row>
    <row r="2" spans="1:24" ht="12.75" hidden="1" customHeight="1">
      <c r="C2" s="8"/>
      <c r="D2" s="16"/>
      <c r="F2" s="50"/>
      <c r="G2" s="50"/>
    </row>
    <row r="3" spans="1:24" ht="12.75" hidden="1" customHeight="1">
      <c r="C3" s="8" t="s">
        <v>0</v>
      </c>
      <c r="D3" s="12">
        <v>189</v>
      </c>
      <c r="E3" s="14"/>
      <c r="F3" s="50"/>
      <c r="G3" s="51"/>
    </row>
    <row r="4" spans="1:24" ht="12.75" hidden="1" customHeight="1">
      <c r="C4" s="8" t="s">
        <v>1</v>
      </c>
      <c r="D4" s="43" t="s">
        <v>2</v>
      </c>
      <c r="E4" s="14"/>
      <c r="F4" s="50"/>
      <c r="G4" s="51"/>
    </row>
    <row r="5" spans="1:24" ht="12.75" hidden="1" customHeight="1">
      <c r="C5" t="s">
        <v>3</v>
      </c>
      <c r="D5" s="17">
        <f>(124.26+7.79)*1.1</f>
        <v>145.25500000000002</v>
      </c>
      <c r="F5" s="50"/>
      <c r="G5" s="5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2.75" hidden="1" customHeight="1">
      <c r="F6" s="50"/>
      <c r="G6" s="51"/>
      <c r="H6" s="307"/>
      <c r="I6" s="308"/>
      <c r="J6" s="308"/>
      <c r="K6" s="308"/>
      <c r="L6" s="308"/>
      <c r="M6" s="308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.75" hidden="1" customHeight="1">
      <c r="C7" s="1"/>
      <c r="D7" s="1"/>
      <c r="E7" s="1"/>
      <c r="F7" s="1"/>
      <c r="G7" s="1"/>
      <c r="H7" s="185"/>
      <c r="I7" s="47"/>
      <c r="J7" s="47"/>
      <c r="K7" s="11"/>
      <c r="L7" s="53"/>
    </row>
    <row r="8" spans="1:24" ht="12.75" customHeight="1">
      <c r="C8" s="310"/>
      <c r="D8" s="310"/>
      <c r="E8" s="310"/>
      <c r="F8" s="19"/>
      <c r="H8" s="185"/>
      <c r="I8" s="47"/>
      <c r="J8" s="47"/>
      <c r="K8" s="19"/>
      <c r="N8" s="19"/>
    </row>
    <row r="9" spans="1:24" ht="23.25">
      <c r="C9" s="103" t="s">
        <v>4</v>
      </c>
      <c r="D9" s="102" t="s">
        <v>5</v>
      </c>
      <c r="E9" s="102" t="s">
        <v>6</v>
      </c>
      <c r="F9" s="102" t="s">
        <v>7</v>
      </c>
      <c r="G9" s="102" t="s">
        <v>8</v>
      </c>
      <c r="H9" s="102" t="s">
        <v>9</v>
      </c>
      <c r="I9" s="102" t="s">
        <v>10</v>
      </c>
      <c r="J9" s="102" t="s">
        <v>11</v>
      </c>
      <c r="K9" s="102" t="s">
        <v>12</v>
      </c>
      <c r="L9" s="102" t="s">
        <v>13</v>
      </c>
      <c r="M9" s="102" t="s">
        <v>14</v>
      </c>
      <c r="N9" s="102" t="s">
        <v>15</v>
      </c>
      <c r="O9" s="102" t="s">
        <v>16</v>
      </c>
      <c r="P9" s="102" t="s">
        <v>17</v>
      </c>
      <c r="Q9" s="102" t="s">
        <v>18</v>
      </c>
    </row>
    <row r="10" spans="1:24">
      <c r="A10" s="311" t="s">
        <v>19</v>
      </c>
      <c r="B10" s="312" t="s">
        <v>20</v>
      </c>
      <c r="C10" s="249" t="s">
        <v>21</v>
      </c>
      <c r="D10" s="282">
        <f>SUM(D11:D16)</f>
        <v>-87212.450698503439</v>
      </c>
      <c r="E10" s="282">
        <f t="shared" ref="E10:P10" si="0">SUM(E11:E16)</f>
        <v>-610381.95550624258</v>
      </c>
      <c r="F10" s="282">
        <f t="shared" si="0"/>
        <v>-201993.5535365245</v>
      </c>
      <c r="G10" s="282">
        <f t="shared" si="0"/>
        <v>-58420.908472251416</v>
      </c>
      <c r="H10" s="282">
        <f t="shared" si="0"/>
        <v>-119417.88880194625</v>
      </c>
      <c r="I10" s="282">
        <f t="shared" si="0"/>
        <v>-154808.43161508435</v>
      </c>
      <c r="J10" s="282">
        <f t="shared" si="0"/>
        <v>-257368.34811701978</v>
      </c>
      <c r="K10" s="282">
        <f t="shared" si="0"/>
        <v>-39877.158239502729</v>
      </c>
      <c r="L10" s="282">
        <f t="shared" si="0"/>
        <v>-387478.41266357346</v>
      </c>
      <c r="M10" s="282">
        <f t="shared" si="0"/>
        <v>-444299.15652919578</v>
      </c>
      <c r="N10" s="282">
        <f t="shared" si="0"/>
        <v>-69890.55473184376</v>
      </c>
      <c r="O10" s="282">
        <f t="shared" si="0"/>
        <v>-478247.45813529659</v>
      </c>
      <c r="P10" s="282">
        <f t="shared" si="0"/>
        <v>-570626.17477895727</v>
      </c>
      <c r="Q10" s="282">
        <f>SUM(Q11:Q16)</f>
        <v>-3480022.4518259424</v>
      </c>
      <c r="R10" s="211"/>
    </row>
    <row r="11" spans="1:24">
      <c r="A11" s="311"/>
      <c r="B11" s="312"/>
      <c r="C11" s="57" t="s">
        <v>22</v>
      </c>
      <c r="D11" s="13">
        <v>-56115.33</v>
      </c>
      <c r="E11" s="13">
        <v>-398108.84</v>
      </c>
      <c r="F11" s="13">
        <v>-147884.16</v>
      </c>
      <c r="G11" s="13">
        <v>-38424.019999999997</v>
      </c>
      <c r="H11" s="13">
        <v>-84344.21</v>
      </c>
      <c r="I11" s="13">
        <v>-110772.84</v>
      </c>
      <c r="J11" s="13">
        <v>-169115.18</v>
      </c>
      <c r="K11" s="13">
        <v>-29490.9</v>
      </c>
      <c r="L11" s="13">
        <v>-273510.15999999997</v>
      </c>
      <c r="M11" s="13">
        <v>-299971.56</v>
      </c>
      <c r="N11" s="13">
        <v>-54242.16</v>
      </c>
      <c r="O11" s="13">
        <v>-371878.11</v>
      </c>
      <c r="P11" s="13">
        <v>-421343.89</v>
      </c>
      <c r="Q11" s="13">
        <f>SUM(D11:P11)</f>
        <v>-2455201.3600000003</v>
      </c>
    </row>
    <row r="12" spans="1:24">
      <c r="A12" s="311"/>
      <c r="B12" s="312"/>
      <c r="C12" s="212" t="s">
        <v>23</v>
      </c>
      <c r="D12" s="13">
        <f>D11*0.0324</f>
        <v>-1818.136692</v>
      </c>
      <c r="E12" s="13">
        <f t="shared" ref="E12:P12" si="1">E11*0.0324</f>
        <v>-12898.726416</v>
      </c>
      <c r="F12" s="13">
        <f t="shared" si="1"/>
        <v>-4791.4467839999998</v>
      </c>
      <c r="G12" s="13">
        <f t="shared" si="1"/>
        <v>-1244.9382479999999</v>
      </c>
      <c r="H12" s="13">
        <f t="shared" si="1"/>
        <v>-2732.7524039999998</v>
      </c>
      <c r="I12" s="13">
        <f t="shared" si="1"/>
        <v>-3589.0400159999995</v>
      </c>
      <c r="J12" s="13">
        <f t="shared" si="1"/>
        <v>-5479.3318319999998</v>
      </c>
      <c r="K12" s="13">
        <f t="shared" si="1"/>
        <v>-955.50516000000005</v>
      </c>
      <c r="L12" s="13">
        <f t="shared" si="1"/>
        <v>-8861.729183999998</v>
      </c>
      <c r="M12" s="13">
        <f t="shared" si="1"/>
        <v>-9719.078544</v>
      </c>
      <c r="N12" s="13">
        <f t="shared" si="1"/>
        <v>-1757.445984</v>
      </c>
      <c r="O12" s="13">
        <f t="shared" si="1"/>
        <v>-12048.850763999999</v>
      </c>
      <c r="P12" s="13">
        <f t="shared" si="1"/>
        <v>-13651.542035999999</v>
      </c>
      <c r="Q12" s="13">
        <f>SUM(D12:P12)</f>
        <v>-79548.524063999983</v>
      </c>
    </row>
    <row r="13" spans="1:24">
      <c r="A13" s="311"/>
      <c r="B13" s="312"/>
      <c r="C13" s="248" t="s">
        <v>24</v>
      </c>
      <c r="D13" s="162">
        <v>-832</v>
      </c>
      <c r="E13" s="163">
        <f>-41913.26-2088.24-4386.72</f>
        <v>-48388.22</v>
      </c>
      <c r="F13" s="163">
        <f>-1279.74-894.96</f>
        <v>-2174.6999999999998</v>
      </c>
      <c r="G13" s="163">
        <v>-665.66</v>
      </c>
      <c r="H13" s="163">
        <f>-6377.28</f>
        <v>-6377.28</v>
      </c>
      <c r="I13" s="163">
        <f>-4386.72-2088.24</f>
        <v>-6474.96</v>
      </c>
      <c r="J13" s="163">
        <f>-3188.64</f>
        <v>-3188.64</v>
      </c>
      <c r="K13" s="163"/>
      <c r="L13" s="163">
        <f>-15013.18</f>
        <v>-15013.18</v>
      </c>
      <c r="M13" s="163">
        <f>-731.4-10831.2-10431.68-2678.52-3454.36</f>
        <v>-28127.16</v>
      </c>
      <c r="N13" s="163"/>
      <c r="O13" s="163">
        <f>-1461.46-332.8</f>
        <v>-1794.26</v>
      </c>
      <c r="P13" s="163">
        <f>-365.28-298.32</f>
        <v>-663.59999999999991</v>
      </c>
      <c r="Q13" s="13">
        <f>SUM(D13:P13)</f>
        <v>-113699.66000000002</v>
      </c>
    </row>
    <row r="14" spans="1:24">
      <c r="A14" s="311"/>
      <c r="B14" s="312"/>
      <c r="C14" s="245" t="s">
        <v>25</v>
      </c>
      <c r="D14" s="13">
        <f>-59.22*$D$5</f>
        <v>-8602.0011000000013</v>
      </c>
      <c r="E14" s="13">
        <f>-287.23*$D$5</f>
        <v>-41721.59365000001</v>
      </c>
      <c r="F14" s="13">
        <f>-56.21*$D$5</f>
        <v>-8164.783550000001</v>
      </c>
      <c r="G14" s="13">
        <f>-32.71*$D$5</f>
        <v>-4751.2910500000007</v>
      </c>
      <c r="H14" s="13">
        <f>-39.26*$D$5</f>
        <v>-5702.7113000000008</v>
      </c>
      <c r="I14" s="13">
        <f>-43.64*$D$5</f>
        <v>-6338.9282000000012</v>
      </c>
      <c r="J14" s="13">
        <f>-164.46*$D$5</f>
        <v>-23888.637300000006</v>
      </c>
      <c r="K14" s="13">
        <f>-8.93*$D$5</f>
        <v>-1297.1271500000003</v>
      </c>
      <c r="L14" s="13">
        <f>-115.77*$D$5</f>
        <v>-16816.171350000001</v>
      </c>
      <c r="M14" s="13">
        <f>-127.14*$D$5</f>
        <v>-18467.720700000002</v>
      </c>
      <c r="N14" s="13">
        <f>-12.1*$D$5</f>
        <v>-1757.5855000000001</v>
      </c>
      <c r="O14" s="13">
        <f>-128.19*$D$5</f>
        <v>-18620.238450000004</v>
      </c>
      <c r="P14" s="13">
        <f>-208.13*$D$5</f>
        <v>-30231.923150000006</v>
      </c>
      <c r="Q14" s="13">
        <f>SUM(D14:P14)</f>
        <v>-186360.71245000002</v>
      </c>
    </row>
    <row r="15" spans="1:24">
      <c r="A15" s="311"/>
      <c r="B15" s="312"/>
      <c r="C15" s="57" t="s">
        <v>26</v>
      </c>
      <c r="D15" s="13">
        <f>-93.25*$D$3</f>
        <v>-17624.25</v>
      </c>
      <c r="E15" s="13">
        <f>-494.76*$D$3</f>
        <v>-93509.64</v>
      </c>
      <c r="F15" s="13">
        <f>-175.27*$D$3</f>
        <v>-33126.03</v>
      </c>
      <c r="G15" s="13">
        <f>-62.51*$D$3</f>
        <v>-11814.39</v>
      </c>
      <c r="H15" s="13">
        <f>-89.54*$D$3</f>
        <v>-16923.060000000001</v>
      </c>
      <c r="I15" s="13">
        <f>-123.01*$D$3</f>
        <v>-23248.89</v>
      </c>
      <c r="J15" s="13">
        <f>-259.28*$D$3</f>
        <v>-49003.92</v>
      </c>
      <c r="K15" s="13">
        <f>-36.86*$D$3</f>
        <v>-6966.54</v>
      </c>
      <c r="L15" s="13">
        <f>-330.44*$D$3</f>
        <v>-62453.159999999996</v>
      </c>
      <c r="M15" s="13">
        <f>-402.87*$D$3</f>
        <v>-76142.430000000008</v>
      </c>
      <c r="N15" s="13">
        <f>-52.84*$D$3</f>
        <v>-9986.76</v>
      </c>
      <c r="O15" s="13">
        <f>-313.17*$D$3</f>
        <v>-59189.130000000005</v>
      </c>
      <c r="P15" s="13">
        <f>-465.93*$D$3</f>
        <v>-88060.77</v>
      </c>
      <c r="Q15" s="13">
        <f>SUM(D15:P15)</f>
        <v>-548048.97</v>
      </c>
    </row>
    <row r="16" spans="1:24">
      <c r="A16" s="311"/>
      <c r="B16" s="312"/>
      <c r="C16" s="57" t="s">
        <v>27</v>
      </c>
      <c r="D16" s="13">
        <f t="shared" ref="D16:P16" si="2">($Q$16/$Q$11)*D11</f>
        <v>-2220.7329065034328</v>
      </c>
      <c r="E16" s="13">
        <f t="shared" si="2"/>
        <v>-15754.935440242623</v>
      </c>
      <c r="F16" s="13">
        <f t="shared" si="2"/>
        <v>-5852.4332025244921</v>
      </c>
      <c r="G16" s="13">
        <f t="shared" si="2"/>
        <v>-1520.6091742514216</v>
      </c>
      <c r="H16" s="13">
        <f t="shared" si="2"/>
        <v>-3337.8750979462457</v>
      </c>
      <c r="I16" s="13">
        <f t="shared" si="2"/>
        <v>-4383.7733990843444</v>
      </c>
      <c r="J16" s="13">
        <f t="shared" si="2"/>
        <v>-6692.6389850198011</v>
      </c>
      <c r="K16" s="13">
        <f t="shared" si="2"/>
        <v>-1167.085929502724</v>
      </c>
      <c r="L16" s="13">
        <f t="shared" si="2"/>
        <v>-10824.012129573484</v>
      </c>
      <c r="M16" s="13">
        <f t="shared" si="2"/>
        <v>-11871.207285195844</v>
      </c>
      <c r="N16" s="13">
        <f t="shared" si="2"/>
        <v>-2146.6032478437578</v>
      </c>
      <c r="O16" s="13">
        <f t="shared" si="2"/>
        <v>-14716.868921296609</v>
      </c>
      <c r="P16" s="13">
        <f t="shared" si="2"/>
        <v>-16674.449592957266</v>
      </c>
      <c r="Q16" s="13">
        <f>-35000-'BALANÇ FINAL'!V50</f>
        <v>-97163.225311942064</v>
      </c>
    </row>
    <row r="17" spans="1:75">
      <c r="A17" s="311"/>
      <c r="B17" s="312"/>
      <c r="C17" s="58" t="s">
        <v>28</v>
      </c>
      <c r="D17" s="283">
        <f>SUM(D18:D22)</f>
        <v>26327.89</v>
      </c>
      <c r="E17" s="283">
        <f t="shared" ref="E17:P17" si="3">SUM(E18:E22)</f>
        <v>153319.33000000002</v>
      </c>
      <c r="F17" s="283">
        <f t="shared" si="3"/>
        <v>46244.78</v>
      </c>
      <c r="G17" s="283">
        <f t="shared" si="3"/>
        <v>17556.86</v>
      </c>
      <c r="H17" s="283">
        <f t="shared" si="3"/>
        <v>24609.609999999997</v>
      </c>
      <c r="I17" s="283">
        <f t="shared" si="3"/>
        <v>32102.589999999997</v>
      </c>
      <c r="J17" s="283">
        <f t="shared" si="3"/>
        <v>67293.650000000009</v>
      </c>
      <c r="K17" s="283">
        <f t="shared" si="3"/>
        <v>9625.85</v>
      </c>
      <c r="L17" s="283">
        <f t="shared" si="3"/>
        <v>87114.040000000008</v>
      </c>
      <c r="M17" s="283">
        <f t="shared" si="3"/>
        <v>101849.1</v>
      </c>
      <c r="N17" s="283">
        <f t="shared" si="3"/>
        <v>13915.720000000001</v>
      </c>
      <c r="O17" s="283">
        <f t="shared" si="3"/>
        <v>85264.69</v>
      </c>
      <c r="P17" s="283">
        <f t="shared" si="3"/>
        <v>132614.00999999998</v>
      </c>
      <c r="Q17" s="283">
        <f>SUM(Q18:Q22)</f>
        <v>797838.12</v>
      </c>
    </row>
    <row r="18" spans="1:75">
      <c r="A18" s="311"/>
      <c r="B18" s="312"/>
      <c r="C18" s="57" t="s">
        <v>29</v>
      </c>
      <c r="D18" s="13">
        <f>6369.17+3619.66</f>
        <v>9988.83</v>
      </c>
      <c r="E18" s="13">
        <f>26427.75+17102.67</f>
        <v>43530.42</v>
      </c>
      <c r="F18" s="13">
        <f>11351.35+6451.1</f>
        <v>17802.45</v>
      </c>
      <c r="G18" s="13">
        <f>4252.2+2416.57</f>
        <v>6668.77</v>
      </c>
      <c r="H18" s="13">
        <f>5730.43+3256.66</f>
        <v>8987.09</v>
      </c>
      <c r="I18" s="13">
        <f>7883.9+4480.5</f>
        <v>12364.4</v>
      </c>
      <c r="J18" s="13">
        <f>15658.3+8898.78</f>
        <v>24557.08</v>
      </c>
      <c r="K18" s="13">
        <f>2408.96+1369.04</f>
        <v>3778</v>
      </c>
      <c r="L18" s="13">
        <f>20020+11377.58</f>
        <v>31397.58</v>
      </c>
      <c r="M18" s="13">
        <f>22392.48+12725.88</f>
        <v>35118.36</v>
      </c>
      <c r="N18" s="13">
        <f>3449.22+1960.23</f>
        <v>5409.45</v>
      </c>
      <c r="O18" s="13">
        <f>18322.75+10413.02</f>
        <v>28735.77</v>
      </c>
      <c r="P18" s="13">
        <f>25658.48+16604.83</f>
        <v>42263.31</v>
      </c>
      <c r="Q18" s="13">
        <f>SUM(D18:P18)</f>
        <v>270601.51</v>
      </c>
    </row>
    <row r="19" spans="1:75">
      <c r="A19" s="311"/>
      <c r="B19" s="312"/>
      <c r="C19" s="57" t="s">
        <v>30</v>
      </c>
      <c r="D19" s="13">
        <v>2168.46</v>
      </c>
      <c r="E19" s="13">
        <v>9310.83</v>
      </c>
      <c r="F19" s="13">
        <v>2626.17</v>
      </c>
      <c r="G19" s="13">
        <v>1412.65</v>
      </c>
      <c r="H19" s="13">
        <v>1585.43</v>
      </c>
      <c r="I19" s="13">
        <v>1911.85</v>
      </c>
      <c r="J19" s="13">
        <v>4253.09</v>
      </c>
      <c r="K19" s="13">
        <v>550.62</v>
      </c>
      <c r="L19" s="13">
        <v>5573.91</v>
      </c>
      <c r="M19" s="13">
        <v>7235.69</v>
      </c>
      <c r="N19" s="13">
        <v>787.23</v>
      </c>
      <c r="O19" s="13">
        <v>5854.95</v>
      </c>
      <c r="P19" s="13">
        <v>7922.76</v>
      </c>
      <c r="Q19" s="13">
        <f>SUM(D19:P19)</f>
        <v>51193.64</v>
      </c>
    </row>
    <row r="20" spans="1:75">
      <c r="A20" s="311"/>
      <c r="B20" s="312"/>
      <c r="C20" s="57" t="s">
        <v>31</v>
      </c>
      <c r="D20" s="13">
        <v>1470.5</v>
      </c>
      <c r="E20" s="13">
        <v>6522.7</v>
      </c>
      <c r="F20" s="13">
        <v>1779.22</v>
      </c>
      <c r="G20" s="13">
        <v>950.05</v>
      </c>
      <c r="H20" s="13">
        <v>1125.3699999999999</v>
      </c>
      <c r="I20" s="13">
        <v>1318.2</v>
      </c>
      <c r="J20" s="13">
        <v>3076.88</v>
      </c>
      <c r="K20" s="13">
        <v>376.26</v>
      </c>
      <c r="L20" s="13">
        <v>3909.93</v>
      </c>
      <c r="M20" s="13">
        <v>5022.3999999999996</v>
      </c>
      <c r="N20" s="13">
        <v>537.95000000000005</v>
      </c>
      <c r="O20" s="13">
        <v>4057.51</v>
      </c>
      <c r="P20" s="13">
        <v>5655.8</v>
      </c>
      <c r="Q20" s="13">
        <f>SUM(D20:P20)</f>
        <v>35802.770000000004</v>
      </c>
    </row>
    <row r="21" spans="1:75">
      <c r="A21" s="311"/>
      <c r="B21" s="312"/>
      <c r="C21" s="57" t="s">
        <v>32</v>
      </c>
      <c r="D21" s="13">
        <v>10596.81</v>
      </c>
      <c r="E21" s="13">
        <v>86744</v>
      </c>
      <c r="F21" s="13">
        <v>21303.27</v>
      </c>
      <c r="G21" s="13">
        <v>7089.32</v>
      </c>
      <c r="H21" s="13">
        <v>11265.13</v>
      </c>
      <c r="I21" s="13">
        <v>14610.22</v>
      </c>
      <c r="J21" s="13">
        <v>30196.57</v>
      </c>
      <c r="K21" s="13">
        <v>4383.46</v>
      </c>
      <c r="L21" s="13">
        <v>40793.19</v>
      </c>
      <c r="M21" s="13">
        <v>46957.74</v>
      </c>
      <c r="N21" s="13">
        <v>6270.75</v>
      </c>
      <c r="O21" s="13">
        <v>39995.4</v>
      </c>
      <c r="P21" s="13">
        <v>70308.78</v>
      </c>
      <c r="Q21" s="13">
        <f>SUM(D21:P21)</f>
        <v>390514.64</v>
      </c>
    </row>
    <row r="22" spans="1:75">
      <c r="A22" s="311"/>
      <c r="B22" s="312"/>
      <c r="C22" s="57" t="s">
        <v>33</v>
      </c>
      <c r="D22" s="13">
        <v>2103.29</v>
      </c>
      <c r="E22" s="13">
        <v>7211.38</v>
      </c>
      <c r="F22" s="13">
        <v>2733.67</v>
      </c>
      <c r="G22" s="13">
        <v>1436.07</v>
      </c>
      <c r="H22" s="13">
        <v>1646.59</v>
      </c>
      <c r="I22" s="13">
        <v>1897.92</v>
      </c>
      <c r="J22" s="13">
        <v>5210.03</v>
      </c>
      <c r="K22" s="13">
        <v>537.51</v>
      </c>
      <c r="L22" s="13">
        <v>5439.43</v>
      </c>
      <c r="M22" s="13">
        <v>7514.91</v>
      </c>
      <c r="N22" s="13">
        <v>910.34</v>
      </c>
      <c r="O22" s="13">
        <v>6621.06</v>
      </c>
      <c r="P22" s="13">
        <v>6463.36</v>
      </c>
      <c r="Q22" s="13">
        <f>SUM(D22:P22)</f>
        <v>49725.55999999999</v>
      </c>
    </row>
    <row r="23" spans="1:75">
      <c r="A23" s="311"/>
      <c r="B23" s="312"/>
      <c r="C23" s="246" t="s">
        <v>34</v>
      </c>
      <c r="D23" s="59">
        <f>+D10+D17</f>
        <v>-60884.560698503439</v>
      </c>
      <c r="E23" s="59">
        <f t="shared" ref="E23:P23" si="4">+E10+E17</f>
        <v>-457062.62550624256</v>
      </c>
      <c r="F23" s="59">
        <f t="shared" si="4"/>
        <v>-155748.7735365245</v>
      </c>
      <c r="G23" s="59">
        <f t="shared" si="4"/>
        <v>-40864.048472251416</v>
      </c>
      <c r="H23" s="59">
        <f t="shared" si="4"/>
        <v>-94808.278801946246</v>
      </c>
      <c r="I23" s="59">
        <f t="shared" si="4"/>
        <v>-122705.84161508435</v>
      </c>
      <c r="J23" s="59">
        <f t="shared" si="4"/>
        <v>-190074.69811701978</v>
      </c>
      <c r="K23" s="59">
        <f t="shared" si="4"/>
        <v>-30251.30823950273</v>
      </c>
      <c r="L23" s="59">
        <f t="shared" si="4"/>
        <v>-300364.37266357348</v>
      </c>
      <c r="M23" s="59">
        <f t="shared" si="4"/>
        <v>-342450.05652919575</v>
      </c>
      <c r="N23" s="59">
        <f t="shared" si="4"/>
        <v>-55974.834731843759</v>
      </c>
      <c r="O23" s="59">
        <f t="shared" si="4"/>
        <v>-392982.76813529659</v>
      </c>
      <c r="P23" s="60">
        <f t="shared" si="4"/>
        <v>-438012.16477895726</v>
      </c>
      <c r="Q23" s="60">
        <f>+Q10+Q17</f>
        <v>-2682184.3318259423</v>
      </c>
    </row>
    <row r="24" spans="1:75" ht="17.25" customHeight="1">
      <c r="A24" s="311"/>
      <c r="B24" s="313" t="s">
        <v>35</v>
      </c>
      <c r="C24" s="247" t="s">
        <v>36</v>
      </c>
      <c r="D24" s="162">
        <v>-3476.58</v>
      </c>
      <c r="E24" s="163">
        <v>-18564.45</v>
      </c>
      <c r="F24" s="163">
        <v>-5764.14</v>
      </c>
      <c r="G24" s="163">
        <v>-2974.62</v>
      </c>
      <c r="H24" s="163">
        <v>-3868.19</v>
      </c>
      <c r="I24" s="163">
        <v>-4155.95</v>
      </c>
      <c r="J24" s="163">
        <v>-13605.47</v>
      </c>
      <c r="K24" s="163">
        <v>-2541.9</v>
      </c>
      <c r="L24" s="163">
        <v>-16101.83</v>
      </c>
      <c r="M24" s="163"/>
      <c r="N24" s="163">
        <v>-2903.23</v>
      </c>
      <c r="O24" s="163">
        <v>-15362.32</v>
      </c>
      <c r="P24" s="163">
        <v>-13599.1</v>
      </c>
      <c r="Q24" s="13">
        <f t="shared" ref="Q24:Q31" si="5">SUM(D24:P24)</f>
        <v>-102917.78</v>
      </c>
    </row>
    <row r="25" spans="1:75">
      <c r="A25" s="311"/>
      <c r="B25" s="313"/>
      <c r="C25" s="247" t="s">
        <v>37</v>
      </c>
      <c r="D25" s="162"/>
      <c r="E25" s="163">
        <v>-35310.83</v>
      </c>
      <c r="F25" s="163"/>
      <c r="G25" s="163"/>
      <c r="H25" s="163">
        <v>-12944.487323506601</v>
      </c>
      <c r="I25" s="163">
        <f>-2000</f>
        <v>-2000</v>
      </c>
      <c r="J25" s="163"/>
      <c r="K25" s="163"/>
      <c r="L25" s="163">
        <f>-50*18.94*12</f>
        <v>-11364.000000000002</v>
      </c>
      <c r="M25" s="163">
        <v>-12050.087222653199</v>
      </c>
      <c r="N25" s="163"/>
      <c r="O25" s="163">
        <f>(-100*18.94*12)*0.75</f>
        <v>-17046.000000000004</v>
      </c>
      <c r="P25" s="163">
        <f>-30*18.94*12</f>
        <v>-6818.4000000000005</v>
      </c>
      <c r="Q25" s="13">
        <f t="shared" si="5"/>
        <v>-97533.804546159794</v>
      </c>
    </row>
    <row r="26" spans="1:75">
      <c r="A26" s="311"/>
      <c r="B26" s="313"/>
      <c r="C26" s="247" t="s">
        <v>38</v>
      </c>
      <c r="D26" s="162"/>
      <c r="E26" s="163">
        <v>-1941.49</v>
      </c>
      <c r="F26" s="163"/>
      <c r="G26" s="163"/>
      <c r="H26" s="163">
        <v>-2561.1420007653978</v>
      </c>
      <c r="I26" s="163">
        <v>-822.77377399945567</v>
      </c>
      <c r="J26" s="163"/>
      <c r="K26" s="163"/>
      <c r="L26" s="163">
        <v>-1693.8333801392337</v>
      </c>
      <c r="M26" s="163">
        <v>-904.59600000000012</v>
      </c>
      <c r="N26" s="163"/>
      <c r="O26" s="163">
        <f>-(4282.72183387087)*0.75</f>
        <v>-3212.0413754031524</v>
      </c>
      <c r="P26" s="163">
        <v>-1575.4890757447611</v>
      </c>
      <c r="Q26" s="13">
        <f t="shared" si="5"/>
        <v>-12711.365606052001</v>
      </c>
    </row>
    <row r="27" spans="1:75">
      <c r="A27" s="311"/>
      <c r="B27" s="313"/>
      <c r="C27" s="247" t="s">
        <v>39</v>
      </c>
      <c r="D27" s="162">
        <f>-487.89*1.1</f>
        <v>-536.67899999999997</v>
      </c>
      <c r="E27" s="163">
        <f>-2187.73*1.1</f>
        <v>-2406.5030000000002</v>
      </c>
      <c r="F27" s="163">
        <f>-579.92*1.1</f>
        <v>-637.91200000000003</v>
      </c>
      <c r="G27" s="163">
        <f>-385.19*1.1</f>
        <v>-423.70900000000006</v>
      </c>
      <c r="H27" s="163">
        <f>-695.72*1.1</f>
        <v>-765.29200000000014</v>
      </c>
      <c r="I27" s="163">
        <f>-353.08*1.1</f>
        <v>-388.38800000000003</v>
      </c>
      <c r="J27" s="163">
        <f>-2087.21*1.1</f>
        <v>-2295.931</v>
      </c>
      <c r="K27" s="163">
        <f>-355.03*1.1</f>
        <v>-390.53300000000002</v>
      </c>
      <c r="L27" s="163">
        <f>-3768.09</f>
        <v>-3768.09</v>
      </c>
      <c r="M27" s="163"/>
      <c r="N27" s="163">
        <f>-281.18*1.1</f>
        <v>-309.29800000000006</v>
      </c>
      <c r="O27" s="163">
        <f>-2004*1.1</f>
        <v>-2204.4</v>
      </c>
      <c r="P27" s="163">
        <v>-2000</v>
      </c>
      <c r="Q27" s="13">
        <f t="shared" si="5"/>
        <v>-16126.735000000001</v>
      </c>
    </row>
    <row r="28" spans="1:75">
      <c r="A28" s="311"/>
      <c r="B28" s="313"/>
      <c r="C28" s="247" t="s">
        <v>40</v>
      </c>
      <c r="D28" s="162"/>
      <c r="E28" s="163">
        <v>-44780.29</v>
      </c>
      <c r="F28" s="163">
        <v>-5607.72</v>
      </c>
      <c r="G28" s="163">
        <f>-1617.45</f>
        <v>-1617.45</v>
      </c>
      <c r="H28" s="163">
        <f>-88.29*12</f>
        <v>-1059.48</v>
      </c>
      <c r="I28" s="163">
        <v>-2831.2</v>
      </c>
      <c r="J28" s="163">
        <v>-1916.78</v>
      </c>
      <c r="K28" s="163">
        <v>-1266.26</v>
      </c>
      <c r="L28" s="163"/>
      <c r="M28" s="163">
        <v>-40706.26</v>
      </c>
      <c r="N28" s="163">
        <v>-1577.57</v>
      </c>
      <c r="O28" s="163">
        <v>-16077.78</v>
      </c>
      <c r="P28" s="163">
        <v>-25800.73</v>
      </c>
      <c r="Q28" s="13">
        <f t="shared" si="5"/>
        <v>-143241.52000000002</v>
      </c>
    </row>
    <row r="29" spans="1:75">
      <c r="A29" s="311"/>
      <c r="B29" s="313"/>
      <c r="C29" s="247" t="s">
        <v>41</v>
      </c>
      <c r="D29" s="162"/>
      <c r="E29" s="162"/>
      <c r="F29" s="163"/>
      <c r="G29" s="163">
        <v>-3357.36</v>
      </c>
      <c r="H29" s="163">
        <v>-3357.36</v>
      </c>
      <c r="I29" s="163">
        <v>-1119.1199999999999</v>
      </c>
      <c r="J29" s="163">
        <v>-4246.32</v>
      </c>
      <c r="K29" s="163"/>
      <c r="L29" s="163"/>
      <c r="M29" s="163"/>
      <c r="N29" s="163"/>
      <c r="O29" s="163"/>
      <c r="P29" s="163"/>
      <c r="Q29" s="13">
        <f t="shared" si="5"/>
        <v>-12080.16</v>
      </c>
    </row>
    <row r="30" spans="1:75">
      <c r="A30" s="311"/>
      <c r="B30" s="313"/>
      <c r="C30" s="247" t="s">
        <v>42</v>
      </c>
      <c r="D30" s="162">
        <f>-618.49</f>
        <v>-618.49</v>
      </c>
      <c r="E30" s="163">
        <f>-618.49*6</f>
        <v>-3710.94</v>
      </c>
      <c r="F30" s="163">
        <v>-618.49</v>
      </c>
      <c r="G30" s="163"/>
      <c r="H30" s="163"/>
      <c r="I30" s="163">
        <v>-618.49</v>
      </c>
      <c r="J30" s="163">
        <f>-618.49*2</f>
        <v>-1236.98</v>
      </c>
      <c r="K30" s="163">
        <v>-618.49</v>
      </c>
      <c r="L30" s="163"/>
      <c r="M30" s="163"/>
      <c r="N30" s="163"/>
      <c r="O30" s="163">
        <f>-618.49*2</f>
        <v>-1236.98</v>
      </c>
      <c r="P30" s="163"/>
      <c r="Q30" s="13">
        <f t="shared" si="5"/>
        <v>-8658.8599999999988</v>
      </c>
    </row>
    <row r="31" spans="1:75" s="46" customFormat="1">
      <c r="A31" s="311"/>
      <c r="B31" s="313"/>
      <c r="C31" s="247" t="s">
        <v>43</v>
      </c>
      <c r="D31" s="162">
        <v>-480</v>
      </c>
      <c r="E31" s="275">
        <f>-3380.52-5408.52</f>
        <v>-8789.0400000000009</v>
      </c>
      <c r="F31" s="163">
        <v>-300</v>
      </c>
      <c r="G31" s="163"/>
      <c r="H31" s="163"/>
      <c r="I31" s="163">
        <f>-183.06-338.52</f>
        <v>-521.57999999999993</v>
      </c>
      <c r="J31" s="163">
        <f>-7000</f>
        <v>-7000</v>
      </c>
      <c r="K31" s="163">
        <v>-183.06</v>
      </c>
      <c r="L31" s="163">
        <f>-365.28-675.48-600</f>
        <v>-1640.76</v>
      </c>
      <c r="M31" s="163">
        <f>-731.4-1352.52</f>
        <v>-2083.92</v>
      </c>
      <c r="N31" s="163"/>
      <c r="O31" s="163">
        <f>-731.4-6000</f>
        <v>-6731.4</v>
      </c>
      <c r="P31" s="163">
        <f>-5989.58</f>
        <v>-5989.58</v>
      </c>
      <c r="Q31" s="13">
        <f t="shared" si="5"/>
        <v>-33719.340000000004</v>
      </c>
      <c r="R31"/>
      <c r="S31"/>
      <c r="T31"/>
      <c r="U3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s="46" customFormat="1">
      <c r="A32" s="311"/>
      <c r="B32" s="314"/>
      <c r="C32" s="61" t="s">
        <v>44</v>
      </c>
      <c r="D32" s="62">
        <f>SUM(D24:D31)</f>
        <v>-5111.7489999999998</v>
      </c>
      <c r="E32" s="62">
        <f t="shared" ref="E32:P32" si="6">SUM(E24:E31)</f>
        <v>-115503.54300000001</v>
      </c>
      <c r="F32" s="62">
        <f t="shared" si="6"/>
        <v>-12928.262000000001</v>
      </c>
      <c r="G32" s="62">
        <f>SUM(G24:G31)</f>
        <v>-8373.1389999999992</v>
      </c>
      <c r="H32" s="62">
        <f t="shared" si="6"/>
        <v>-24555.951324271999</v>
      </c>
      <c r="I32" s="62">
        <f t="shared" si="6"/>
        <v>-12457.501773999455</v>
      </c>
      <c r="J32" s="62">
        <f t="shared" si="6"/>
        <v>-30301.481</v>
      </c>
      <c r="K32" s="62">
        <f t="shared" si="6"/>
        <v>-5000.2430000000004</v>
      </c>
      <c r="L32" s="62">
        <f t="shared" si="6"/>
        <v>-34568.513380139237</v>
      </c>
      <c r="M32" s="62">
        <f>SUM(M24:M31)</f>
        <v>-55744.863222653199</v>
      </c>
      <c r="N32" s="62">
        <f t="shared" si="6"/>
        <v>-4790.098</v>
      </c>
      <c r="O32" s="62">
        <f t="shared" si="6"/>
        <v>-61870.921375403159</v>
      </c>
      <c r="P32" s="62">
        <f t="shared" si="6"/>
        <v>-55783.299075744762</v>
      </c>
      <c r="Q32" s="62">
        <f>SUM(Q24:Q31)</f>
        <v>-426989.56515221176</v>
      </c>
      <c r="R32"/>
      <c r="S32"/>
      <c r="T32"/>
      <c r="U32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18" ht="12.75" customHeight="1">
      <c r="A33" s="311"/>
      <c r="B33" s="65" t="s">
        <v>18</v>
      </c>
      <c r="C33" s="69" t="s">
        <v>45</v>
      </c>
      <c r="D33" s="68">
        <f>D23+D32</f>
        <v>-65996.309698503435</v>
      </c>
      <c r="E33" s="68">
        <f>E23+E32</f>
        <v>-572566.16850624257</v>
      </c>
      <c r="F33" s="68">
        <f t="shared" ref="F33:Q33" si="7">F23+F32</f>
        <v>-168677.03553652449</v>
      </c>
      <c r="G33" s="68">
        <f t="shared" si="7"/>
        <v>-49237.187472251419</v>
      </c>
      <c r="H33" s="68">
        <f t="shared" si="7"/>
        <v>-119364.23012621824</v>
      </c>
      <c r="I33" s="68">
        <f t="shared" si="7"/>
        <v>-135163.34338908381</v>
      </c>
      <c r="J33" s="68">
        <f t="shared" si="7"/>
        <v>-220376.17911701978</v>
      </c>
      <c r="K33" s="68">
        <f t="shared" si="7"/>
        <v>-35251.551239502733</v>
      </c>
      <c r="L33" s="68">
        <f t="shared" si="7"/>
        <v>-334932.88604371273</v>
      </c>
      <c r="M33" s="68">
        <f t="shared" si="7"/>
        <v>-398194.91975184897</v>
      </c>
      <c r="N33" s="68">
        <f t="shared" si="7"/>
        <v>-60764.932731843757</v>
      </c>
      <c r="O33" s="68">
        <f t="shared" si="7"/>
        <v>-454853.68951069977</v>
      </c>
      <c r="P33" s="68">
        <f t="shared" si="7"/>
        <v>-493795.46385470201</v>
      </c>
      <c r="Q33" s="66">
        <f t="shared" si="7"/>
        <v>-3109173.8969781538</v>
      </c>
      <c r="R33" s="211"/>
    </row>
    <row r="34" spans="1:18" ht="12.75" customHeight="1">
      <c r="A34" s="264"/>
      <c r="B34" s="265"/>
      <c r="C34" s="266"/>
      <c r="D34" s="267" t="s">
        <v>5</v>
      </c>
      <c r="E34" s="267" t="s">
        <v>6</v>
      </c>
      <c r="F34" s="267" t="s">
        <v>7</v>
      </c>
      <c r="G34" s="267" t="s">
        <v>8</v>
      </c>
      <c r="H34" s="267" t="s">
        <v>9</v>
      </c>
      <c r="I34" s="267" t="s">
        <v>10</v>
      </c>
      <c r="J34" s="267" t="s">
        <v>11</v>
      </c>
      <c r="K34" s="267" t="s">
        <v>12</v>
      </c>
      <c r="L34" s="267" t="s">
        <v>13</v>
      </c>
      <c r="M34" s="267" t="s">
        <v>14</v>
      </c>
      <c r="N34" s="267" t="s">
        <v>15</v>
      </c>
      <c r="O34" s="267" t="s">
        <v>16</v>
      </c>
      <c r="P34" s="268" t="s">
        <v>17</v>
      </c>
      <c r="Q34" s="268"/>
      <c r="R34" s="211"/>
    </row>
    <row r="35" spans="1:18" ht="12.75" customHeight="1">
      <c r="A35" s="315" t="s">
        <v>46</v>
      </c>
      <c r="B35" s="316" t="s">
        <v>18</v>
      </c>
      <c r="C35" s="71" t="s">
        <v>47</v>
      </c>
      <c r="D35" s="72"/>
      <c r="E35" s="72"/>
      <c r="F35" s="72"/>
      <c r="G35" s="73"/>
      <c r="H35" s="73"/>
      <c r="I35" s="73"/>
      <c r="J35" s="73"/>
      <c r="K35" s="73"/>
      <c r="L35" s="73"/>
      <c r="M35" s="73"/>
      <c r="N35" s="73"/>
      <c r="O35" s="73"/>
      <c r="P35" s="74"/>
      <c r="Q35" s="74"/>
    </row>
    <row r="36" spans="1:18" ht="12.75" customHeight="1">
      <c r="A36" s="315"/>
      <c r="B36" s="317"/>
      <c r="C36" s="75" t="s">
        <v>48</v>
      </c>
      <c r="D36" s="70"/>
      <c r="E36" s="70"/>
      <c r="F36" s="70"/>
      <c r="G36" s="76"/>
      <c r="H36" s="76"/>
      <c r="I36" s="76"/>
      <c r="J36" s="76"/>
      <c r="K36" s="76"/>
      <c r="L36" s="76"/>
      <c r="M36" s="76"/>
      <c r="N36" s="76"/>
      <c r="O36" s="76"/>
      <c r="P36" s="77"/>
      <c r="Q36" s="77"/>
    </row>
    <row r="37" spans="1:18" ht="12.75" customHeight="1">
      <c r="A37" s="315"/>
      <c r="B37" s="317"/>
      <c r="C37" s="75" t="s">
        <v>49</v>
      </c>
      <c r="D37" s="70"/>
      <c r="E37" s="70"/>
      <c r="F37" s="70"/>
      <c r="G37" s="76"/>
      <c r="H37" s="76"/>
      <c r="I37" s="76"/>
      <c r="J37" s="76"/>
      <c r="K37" s="76"/>
      <c r="L37" s="76"/>
      <c r="M37" s="76"/>
      <c r="N37" s="76"/>
      <c r="O37" s="76"/>
      <c r="P37" s="77"/>
      <c r="Q37" s="77"/>
    </row>
    <row r="38" spans="1:18" ht="12.75" customHeight="1">
      <c r="A38" s="315"/>
      <c r="B38" s="317"/>
      <c r="C38" s="75" t="s">
        <v>50</v>
      </c>
      <c r="D38" s="70"/>
      <c r="E38" s="70"/>
      <c r="F38" s="70"/>
      <c r="G38" s="76"/>
      <c r="H38" s="76"/>
      <c r="I38" s="76"/>
      <c r="J38" s="76"/>
      <c r="K38" s="76"/>
      <c r="L38" s="76"/>
      <c r="M38" s="76"/>
      <c r="N38" s="76"/>
      <c r="O38" s="76"/>
      <c r="P38" s="77"/>
      <c r="Q38" s="77"/>
    </row>
    <row r="39" spans="1:18" ht="12.75" customHeight="1">
      <c r="A39" s="315"/>
      <c r="B39" s="317"/>
      <c r="C39" s="75"/>
      <c r="D39" s="70"/>
      <c r="E39" s="70"/>
      <c r="F39" s="70"/>
      <c r="G39" s="76"/>
      <c r="H39" s="76"/>
      <c r="I39" s="76"/>
      <c r="J39" s="76"/>
      <c r="K39" s="76"/>
      <c r="L39" s="76"/>
      <c r="M39" s="76"/>
      <c r="N39" s="76"/>
      <c r="O39" s="76"/>
      <c r="P39" s="77"/>
      <c r="Q39" s="77"/>
    </row>
    <row r="40" spans="1:18" ht="12.75" customHeight="1">
      <c r="A40" s="315"/>
      <c r="B40" s="317"/>
      <c r="C40" s="75"/>
      <c r="D40" s="70"/>
      <c r="E40" s="70"/>
      <c r="F40" s="70"/>
      <c r="G40" s="76"/>
      <c r="H40" s="76"/>
      <c r="I40" s="76"/>
      <c r="J40" s="76"/>
      <c r="K40" s="76"/>
      <c r="L40" s="76"/>
      <c r="M40" s="76"/>
      <c r="N40" s="76"/>
      <c r="O40" s="76"/>
      <c r="P40" s="77"/>
      <c r="Q40" s="77"/>
    </row>
    <row r="41" spans="1:18" ht="12.75" customHeight="1">
      <c r="A41" s="315"/>
      <c r="B41" s="317"/>
      <c r="C41" s="75"/>
      <c r="D41" s="70"/>
      <c r="E41" s="70"/>
      <c r="F41" s="70"/>
      <c r="G41" s="76"/>
      <c r="H41" s="76"/>
      <c r="I41" s="76"/>
      <c r="J41" s="76"/>
      <c r="K41" s="76"/>
      <c r="L41" s="76"/>
      <c r="M41" s="76"/>
      <c r="N41" s="76"/>
      <c r="O41" s="76"/>
      <c r="P41" s="77"/>
      <c r="Q41" s="77"/>
    </row>
    <row r="42" spans="1:18" ht="12.75" customHeight="1">
      <c r="A42" s="315"/>
      <c r="B42" s="317"/>
      <c r="C42" s="78"/>
      <c r="D42" s="70"/>
      <c r="E42" s="70"/>
      <c r="F42" s="70"/>
      <c r="G42" s="76"/>
      <c r="H42" s="76"/>
      <c r="I42" s="76"/>
      <c r="J42" s="76"/>
      <c r="K42" s="76"/>
      <c r="L42" s="76"/>
      <c r="M42" s="76"/>
      <c r="N42" s="76"/>
      <c r="O42" s="76"/>
      <c r="P42" s="77"/>
      <c r="Q42" s="77"/>
    </row>
    <row r="43" spans="1:18" ht="12.75" customHeight="1">
      <c r="A43" s="315"/>
      <c r="B43" s="317"/>
      <c r="C43" s="78"/>
      <c r="D43" s="70"/>
      <c r="E43" s="70"/>
      <c r="F43" s="70"/>
      <c r="G43" s="76"/>
      <c r="H43" s="76"/>
      <c r="I43" s="76"/>
      <c r="J43" s="76"/>
      <c r="K43" s="76"/>
      <c r="L43" s="76"/>
      <c r="M43" s="76"/>
      <c r="N43" s="76"/>
      <c r="O43" s="76"/>
      <c r="P43" s="77"/>
      <c r="Q43" s="77"/>
      <c r="R43" s="11"/>
    </row>
    <row r="44" spans="1:18" ht="12.75" customHeight="1">
      <c r="A44" s="315"/>
      <c r="B44" s="317"/>
      <c r="C44" s="78"/>
      <c r="D44" s="70"/>
      <c r="E44" s="70"/>
      <c r="F44" s="70"/>
      <c r="G44" s="76"/>
      <c r="H44" s="76"/>
      <c r="I44" s="76"/>
      <c r="J44" s="76"/>
      <c r="K44" s="76"/>
      <c r="L44" s="76"/>
      <c r="M44" s="76"/>
      <c r="N44" s="76"/>
      <c r="O44" s="76"/>
      <c r="P44" s="77"/>
      <c r="Q44" s="77"/>
      <c r="R44" s="11"/>
    </row>
    <row r="45" spans="1:18" ht="12.75" customHeight="1">
      <c r="A45" s="315"/>
      <c r="B45" s="317"/>
      <c r="C45" s="78"/>
      <c r="D45" s="70"/>
      <c r="E45" s="70"/>
      <c r="F45" s="70"/>
      <c r="G45" s="76"/>
      <c r="H45" s="76"/>
      <c r="I45" s="76"/>
      <c r="J45" s="76"/>
      <c r="K45" s="76"/>
      <c r="L45" s="76"/>
      <c r="M45" s="76"/>
      <c r="N45" s="76"/>
      <c r="O45" s="76"/>
      <c r="P45" s="77"/>
      <c r="Q45" s="77"/>
      <c r="R45" s="11"/>
    </row>
    <row r="46" spans="1:18" ht="12.75" customHeight="1">
      <c r="A46" s="315"/>
      <c r="B46" s="317"/>
      <c r="C46" s="78"/>
      <c r="D46" s="70"/>
      <c r="E46" s="70"/>
      <c r="F46" s="70"/>
      <c r="G46" s="76"/>
      <c r="H46" s="76"/>
      <c r="I46" s="76"/>
      <c r="J46" s="76"/>
      <c r="K46" s="76"/>
      <c r="L46" s="76"/>
      <c r="M46" s="76"/>
      <c r="N46" s="76"/>
      <c r="O46" s="76"/>
      <c r="P46" s="77"/>
      <c r="Q46" s="77"/>
      <c r="R46" s="11"/>
    </row>
    <row r="47" spans="1:18" ht="12.75" customHeight="1">
      <c r="A47" s="315"/>
      <c r="B47" s="318"/>
      <c r="C47" s="79"/>
      <c r="D47" s="80"/>
      <c r="E47" s="80"/>
      <c r="F47" s="80"/>
      <c r="G47" s="81"/>
      <c r="H47" s="81"/>
      <c r="I47" s="81"/>
      <c r="J47" s="81"/>
      <c r="K47" s="81"/>
      <c r="L47" s="81"/>
      <c r="M47" s="81"/>
      <c r="N47" s="81"/>
      <c r="O47" s="81"/>
      <c r="P47" s="82"/>
      <c r="Q47" s="82"/>
      <c r="R47" s="11"/>
    </row>
    <row r="48" spans="1:18" ht="12.75" customHeight="1">
      <c r="A48" s="159"/>
      <c r="B48" s="63"/>
      <c r="C48" s="67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11"/>
    </row>
    <row r="49" spans="1:18" ht="12.75" customHeight="1" thickBot="1">
      <c r="A49" s="159"/>
      <c r="B49" s="63"/>
      <c r="C49" s="67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11"/>
    </row>
    <row r="50" spans="1:18" ht="12.75" customHeight="1">
      <c r="A50" s="319" t="s">
        <v>51</v>
      </c>
      <c r="B50" s="320"/>
      <c r="C50" s="320"/>
      <c r="D50" s="85"/>
      <c r="E50" s="64"/>
      <c r="G50" s="83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11"/>
    </row>
    <row r="51" spans="1:18" ht="12.75" customHeight="1">
      <c r="A51" s="321" t="s">
        <v>52</v>
      </c>
      <c r="B51" s="322"/>
      <c r="C51" s="322"/>
      <c r="D51" s="86">
        <f>Q23</f>
        <v>-2682184.3318259423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11"/>
    </row>
    <row r="52" spans="1:18" ht="12.75" customHeight="1">
      <c r="A52" s="321" t="s">
        <v>53</v>
      </c>
      <c r="B52" s="322"/>
      <c r="C52" s="322"/>
      <c r="D52" s="86">
        <f>D51*0.18</f>
        <v>-482793.17972866958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11"/>
    </row>
    <row r="53" spans="1:18" ht="12.75" customHeight="1">
      <c r="A53" s="321" t="s">
        <v>54</v>
      </c>
      <c r="B53" s="322"/>
      <c r="C53" s="322"/>
      <c r="D53" s="86">
        <f>D51*0.82</f>
        <v>-2199391.1520972727</v>
      </c>
      <c r="E53" s="64"/>
      <c r="F53" s="64"/>
      <c r="G53" s="64"/>
      <c r="H53" s="155"/>
      <c r="I53" s="64"/>
      <c r="J53" s="64"/>
      <c r="K53" s="64"/>
      <c r="L53" s="64"/>
      <c r="M53" s="64"/>
      <c r="N53" s="64"/>
      <c r="O53" s="64"/>
      <c r="P53" s="64"/>
      <c r="Q53" s="64"/>
      <c r="R53" s="11"/>
    </row>
    <row r="54" spans="1:18" ht="12.75" customHeight="1" thickBot="1">
      <c r="A54" s="157" t="s">
        <v>55</v>
      </c>
      <c r="B54" s="158"/>
      <c r="C54" s="158" t="s">
        <v>56</v>
      </c>
      <c r="D54" s="86">
        <f>D53*0.85</f>
        <v>-1869482.4792826818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11"/>
    </row>
    <row r="55" spans="1:18" ht="12.75" customHeight="1" thickBot="1">
      <c r="A55" s="153" t="s">
        <v>57</v>
      </c>
      <c r="B55" s="154"/>
      <c r="C55" s="154" t="s">
        <v>58</v>
      </c>
      <c r="D55" s="87">
        <f>Q62*0.95</f>
        <v>12129.599999999999</v>
      </c>
      <c r="E55" s="88" t="s">
        <v>59</v>
      </c>
      <c r="F55" s="88" t="s">
        <v>60</v>
      </c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11"/>
    </row>
    <row r="56" spans="1:18" ht="12.75" customHeight="1" thickBot="1">
      <c r="A56" s="323" t="s">
        <v>61</v>
      </c>
      <c r="B56" s="324"/>
      <c r="C56" s="324"/>
      <c r="D56" s="281">
        <f>D54/D55</f>
        <v>-154.1256495913041</v>
      </c>
      <c r="E56" s="88">
        <v>-167</v>
      </c>
      <c r="F56" s="88">
        <v>-120</v>
      </c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11"/>
    </row>
    <row r="57" spans="1:18" ht="12.75" customHeight="1"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11"/>
    </row>
    <row r="58" spans="1:18" ht="12.75" customHeight="1" thickBot="1">
      <c r="A58" s="84"/>
      <c r="B58" s="84"/>
      <c r="C58" s="84"/>
      <c r="D58" s="64" t="s">
        <v>5</v>
      </c>
      <c r="E58" s="64" t="s">
        <v>6</v>
      </c>
      <c r="F58" s="64" t="s">
        <v>7</v>
      </c>
      <c r="G58" s="64" t="s">
        <v>8</v>
      </c>
      <c r="H58" s="64" t="s">
        <v>9</v>
      </c>
      <c r="I58" s="64" t="s">
        <v>10</v>
      </c>
      <c r="J58" s="64" t="s">
        <v>11</v>
      </c>
      <c r="K58" s="64" t="s">
        <v>12</v>
      </c>
      <c r="L58" s="64" t="s">
        <v>13</v>
      </c>
      <c r="M58" s="64" t="s">
        <v>14</v>
      </c>
      <c r="N58" s="64" t="s">
        <v>15</v>
      </c>
      <c r="O58" s="64" t="s">
        <v>16</v>
      </c>
      <c r="P58" s="64" t="s">
        <v>17</v>
      </c>
      <c r="Q58" s="64" t="s">
        <v>18</v>
      </c>
      <c r="R58" s="11"/>
    </row>
    <row r="59" spans="1:18" ht="12.75" customHeight="1">
      <c r="A59" s="89" t="s">
        <v>62</v>
      </c>
      <c r="B59" s="90"/>
      <c r="C59" s="90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2"/>
      <c r="R59" s="11"/>
    </row>
    <row r="60" spans="1:18" ht="12.75" customHeight="1">
      <c r="A60" s="93" t="s">
        <v>63</v>
      </c>
      <c r="B60" s="94"/>
      <c r="C60" s="94"/>
      <c r="D60" s="95">
        <f>D32</f>
        <v>-5111.7489999999998</v>
      </c>
      <c r="E60" s="95">
        <f t="shared" ref="E60:Q60" si="8">E32</f>
        <v>-115503.54300000001</v>
      </c>
      <c r="F60" s="95">
        <f t="shared" si="8"/>
        <v>-12928.262000000001</v>
      </c>
      <c r="G60" s="95">
        <f t="shared" si="8"/>
        <v>-8373.1389999999992</v>
      </c>
      <c r="H60" s="95">
        <f t="shared" si="8"/>
        <v>-24555.951324271999</v>
      </c>
      <c r="I60" s="95">
        <f t="shared" si="8"/>
        <v>-12457.501773999455</v>
      </c>
      <c r="J60" s="95">
        <f t="shared" si="8"/>
        <v>-30301.481</v>
      </c>
      <c r="K60" s="95">
        <f t="shared" si="8"/>
        <v>-5000.2430000000004</v>
      </c>
      <c r="L60" s="95">
        <f t="shared" si="8"/>
        <v>-34568.513380139237</v>
      </c>
      <c r="M60" s="95">
        <f t="shared" si="8"/>
        <v>-55744.863222653199</v>
      </c>
      <c r="N60" s="95">
        <f t="shared" si="8"/>
        <v>-4790.098</v>
      </c>
      <c r="O60" s="95">
        <f t="shared" si="8"/>
        <v>-61870.921375403159</v>
      </c>
      <c r="P60" s="95">
        <f t="shared" si="8"/>
        <v>-55783.299075744762</v>
      </c>
      <c r="Q60" s="218">
        <f t="shared" si="8"/>
        <v>-426989.56515221176</v>
      </c>
      <c r="R60" s="11"/>
    </row>
    <row r="61" spans="1:18" ht="12.75" customHeight="1">
      <c r="A61" s="93" t="s">
        <v>64</v>
      </c>
      <c r="B61" s="94"/>
      <c r="C61" s="94"/>
      <c r="D61" s="95">
        <f>D60*0.85</f>
        <v>-4344.9866499999998</v>
      </c>
      <c r="E61" s="95">
        <f t="shared" ref="E61:Q61" si="9">E60*0.85</f>
        <v>-98178.011549999996</v>
      </c>
      <c r="F61" s="95">
        <f t="shared" si="9"/>
        <v>-10989.0227</v>
      </c>
      <c r="G61" s="95">
        <f t="shared" si="9"/>
        <v>-7117.1681499999995</v>
      </c>
      <c r="H61" s="95">
        <f t="shared" si="9"/>
        <v>-20872.558625631198</v>
      </c>
      <c r="I61" s="95">
        <f t="shared" si="9"/>
        <v>-10588.876507899537</v>
      </c>
      <c r="J61" s="95">
        <f t="shared" si="9"/>
        <v>-25756.258849999998</v>
      </c>
      <c r="K61" s="95">
        <f t="shared" si="9"/>
        <v>-4250.2065499999999</v>
      </c>
      <c r="L61" s="95">
        <f t="shared" si="9"/>
        <v>-29383.23637311835</v>
      </c>
      <c r="M61" s="95">
        <f t="shared" si="9"/>
        <v>-47383.133739255216</v>
      </c>
      <c r="N61" s="95">
        <f t="shared" si="9"/>
        <v>-4071.5832999999998</v>
      </c>
      <c r="O61" s="95">
        <f t="shared" si="9"/>
        <v>-52590.283169092683</v>
      </c>
      <c r="P61" s="95">
        <f t="shared" si="9"/>
        <v>-47415.804214383046</v>
      </c>
      <c r="Q61" s="218">
        <f t="shared" si="9"/>
        <v>-362941.13037937996</v>
      </c>
      <c r="R61" s="11"/>
    </row>
    <row r="62" spans="1:18" ht="12.75" customHeight="1">
      <c r="A62" s="93" t="s">
        <v>57</v>
      </c>
      <c r="B62" s="94"/>
      <c r="C62" s="94"/>
      <c r="D62" s="220">
        <v>278</v>
      </c>
      <c r="E62" s="220">
        <v>2108</v>
      </c>
      <c r="F62" s="220">
        <v>776</v>
      </c>
      <c r="G62" s="220">
        <v>203</v>
      </c>
      <c r="H62" s="220">
        <v>438</v>
      </c>
      <c r="I62" s="220">
        <v>529</v>
      </c>
      <c r="J62" s="220">
        <v>1032</v>
      </c>
      <c r="K62" s="220">
        <v>169</v>
      </c>
      <c r="L62" s="220">
        <v>1547</v>
      </c>
      <c r="M62" s="220">
        <v>1525</v>
      </c>
      <c r="N62" s="220">
        <v>231</v>
      </c>
      <c r="O62" s="220">
        <v>1425</v>
      </c>
      <c r="P62" s="220">
        <v>2229</v>
      </c>
      <c r="Q62" s="221">
        <v>12768</v>
      </c>
      <c r="R62" s="11"/>
    </row>
    <row r="63" spans="1:18" ht="12.75" customHeight="1" thickBot="1">
      <c r="A63" s="96" t="s">
        <v>65</v>
      </c>
      <c r="B63" s="97"/>
      <c r="C63" s="97"/>
      <c r="D63" s="149">
        <f>D61/D62</f>
        <v>-15.629448381294964</v>
      </c>
      <c r="E63" s="149">
        <f>E61/E62</f>
        <v>-46.57400927419355</v>
      </c>
      <c r="F63" s="149">
        <f t="shared" ref="F63:Q63" si="10">F61/F62</f>
        <v>-14.161111726804123</v>
      </c>
      <c r="G63" s="149">
        <f t="shared" si="10"/>
        <v>-35.059941625615764</v>
      </c>
      <c r="H63" s="149">
        <f t="shared" si="10"/>
        <v>-47.654243437514154</v>
      </c>
      <c r="I63" s="149">
        <f t="shared" si="10"/>
        <v>-20.01677978808986</v>
      </c>
      <c r="J63" s="149">
        <f t="shared" si="10"/>
        <v>-24.957615164728679</v>
      </c>
      <c r="K63" s="149">
        <f t="shared" si="10"/>
        <v>-25.14915118343195</v>
      </c>
      <c r="L63" s="149">
        <f t="shared" si="10"/>
        <v>-18.993688670406172</v>
      </c>
      <c r="M63" s="149">
        <f t="shared" si="10"/>
        <v>-31.070907370003422</v>
      </c>
      <c r="N63" s="149">
        <f t="shared" si="10"/>
        <v>-17.625901731601729</v>
      </c>
      <c r="O63" s="149">
        <f t="shared" si="10"/>
        <v>-36.9054618730475</v>
      </c>
      <c r="P63" s="149">
        <f t="shared" si="10"/>
        <v>-21.272231590122498</v>
      </c>
      <c r="Q63" s="219">
        <f t="shared" si="10"/>
        <v>-28.425840411918855</v>
      </c>
      <c r="R63" s="11"/>
    </row>
    <row r="64" spans="1:18" ht="12.75" customHeight="1" thickBot="1">
      <c r="A64" s="309"/>
      <c r="B64" s="309"/>
      <c r="C64" s="309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11"/>
    </row>
    <row r="65" spans="1:18" ht="12.75" customHeight="1" thickBot="1">
      <c r="A65" s="98" t="s">
        <v>66</v>
      </c>
      <c r="B65" s="99"/>
      <c r="C65" s="99"/>
      <c r="D65" s="100">
        <f>$E$56+D63</f>
        <v>-182.62944838129496</v>
      </c>
      <c r="E65" s="100">
        <f t="shared" ref="E65:Q65" si="11">$E$56+E63</f>
        <v>-213.57400927419354</v>
      </c>
      <c r="F65" s="100">
        <f t="shared" si="11"/>
        <v>-181.16111172680411</v>
      </c>
      <c r="G65" s="100">
        <f t="shared" si="11"/>
        <v>-202.05994162561575</v>
      </c>
      <c r="H65" s="100">
        <f t="shared" si="11"/>
        <v>-214.65424343751414</v>
      </c>
      <c r="I65" s="100">
        <f t="shared" si="11"/>
        <v>-187.01677978808985</v>
      </c>
      <c r="J65" s="100">
        <f t="shared" si="11"/>
        <v>-191.95761516472868</v>
      </c>
      <c r="K65" s="100">
        <f t="shared" si="11"/>
        <v>-192.14915118343194</v>
      </c>
      <c r="L65" s="100">
        <f t="shared" si="11"/>
        <v>-185.99368867040619</v>
      </c>
      <c r="M65" s="100">
        <f t="shared" si="11"/>
        <v>-198.07090737000343</v>
      </c>
      <c r="N65" s="100">
        <f t="shared" si="11"/>
        <v>-184.62590173160174</v>
      </c>
      <c r="O65" s="100">
        <f t="shared" si="11"/>
        <v>-203.9054618730475</v>
      </c>
      <c r="P65" s="100">
        <f t="shared" si="11"/>
        <v>-188.27223159012249</v>
      </c>
      <c r="Q65" s="101">
        <f t="shared" si="11"/>
        <v>-195.42584041191884</v>
      </c>
      <c r="R65" s="11"/>
    </row>
    <row r="66" spans="1:18" ht="12.75" customHeight="1">
      <c r="A66" s="150"/>
      <c r="B66" s="150"/>
      <c r="C66" s="150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1"/>
    </row>
    <row r="67" spans="1:18" ht="12.75" customHeight="1">
      <c r="A67" s="159"/>
      <c r="B67" s="159"/>
      <c r="C67" s="159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11"/>
    </row>
  </sheetData>
  <sheetProtection sheet="1" objects="1" scenarios="1" selectLockedCells="1" selectUnlockedCells="1"/>
  <mergeCells count="15">
    <mergeCell ref="H6:I6"/>
    <mergeCell ref="J6:K6"/>
    <mergeCell ref="L6:M6"/>
    <mergeCell ref="A64:C64"/>
    <mergeCell ref="C8:E8"/>
    <mergeCell ref="A10:A33"/>
    <mergeCell ref="B10:B23"/>
    <mergeCell ref="B24:B32"/>
    <mergeCell ref="A35:A47"/>
    <mergeCell ref="B35:B47"/>
    <mergeCell ref="A50:C50"/>
    <mergeCell ref="A51:C51"/>
    <mergeCell ref="A52:C52"/>
    <mergeCell ref="A53:C53"/>
    <mergeCell ref="A56:C56"/>
  </mergeCells>
  <pageMargins left="0.7" right="0.7" top="0.75" bottom="0.75" header="0.3" footer="0.3"/>
  <pageSetup paperSize="9" orientation="portrait" horizontalDpi="1200" verticalDpi="1200" r:id="rId1"/>
  <ignoredErrors>
    <ignoredError sqref="E14 Q2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2:C9"/>
  <sheetViews>
    <sheetView zoomScale="90" zoomScaleNormal="90" workbookViewId="0">
      <selection activeCell="C10" sqref="C10"/>
    </sheetView>
  </sheetViews>
  <sheetFormatPr defaultColWidth="11.42578125" defaultRowHeight="12.75"/>
  <cols>
    <col min="1" max="1" width="23.85546875" customWidth="1"/>
    <col min="2" max="2" width="52.42578125" bestFit="1" customWidth="1"/>
    <col min="3" max="3" width="16.42578125" customWidth="1"/>
    <col min="4" max="4" width="15.28515625" customWidth="1"/>
    <col min="5" max="5" width="13.85546875" customWidth="1"/>
    <col min="6" max="6" width="15" customWidth="1"/>
    <col min="7" max="7" width="15.140625" customWidth="1"/>
    <col min="8" max="8" width="14.85546875" customWidth="1"/>
    <col min="9" max="10" width="14.5703125" customWidth="1"/>
    <col min="11" max="11" width="15" customWidth="1"/>
    <col min="12" max="12" width="13" customWidth="1"/>
    <col min="13" max="13" width="13.42578125" customWidth="1"/>
    <col min="14" max="14" width="14.5703125" customWidth="1"/>
    <col min="15" max="15" width="13.5703125" customWidth="1"/>
    <col min="16" max="16" width="15.28515625" customWidth="1"/>
    <col min="17" max="17" width="13.7109375" customWidth="1"/>
    <col min="18" max="18" width="15.140625" customWidth="1"/>
    <col min="19" max="19" width="21.5703125" customWidth="1"/>
    <col min="20" max="20" width="14.7109375" customWidth="1"/>
    <col min="21" max="21" width="13.85546875" customWidth="1"/>
  </cols>
  <sheetData>
    <row r="2" spans="1:3" ht="18">
      <c r="A2" s="325" t="s">
        <v>67</v>
      </c>
      <c r="B2" s="326"/>
      <c r="C2" s="102" t="s">
        <v>18</v>
      </c>
    </row>
    <row r="3" spans="1:3">
      <c r="A3" s="312" t="s">
        <v>68</v>
      </c>
      <c r="B3" s="226" t="s">
        <v>69</v>
      </c>
      <c r="C3" s="198">
        <f>-'CÀLCUL QUOTES'!Q11</f>
        <v>2455201.3600000003</v>
      </c>
    </row>
    <row r="4" spans="1:3">
      <c r="A4" s="312"/>
      <c r="B4" s="226" t="s">
        <v>70</v>
      </c>
      <c r="C4" s="199">
        <f>-'CÀLCUL QUOTES'!Q12</f>
        <v>79548.524063999983</v>
      </c>
    </row>
    <row r="5" spans="1:3">
      <c r="A5" s="312"/>
      <c r="B5" s="226" t="s">
        <v>71</v>
      </c>
      <c r="C5" s="199">
        <f>-'CÀLCUL QUOTES'!Q13</f>
        <v>113699.66000000002</v>
      </c>
    </row>
    <row r="6" spans="1:3">
      <c r="A6" s="312"/>
      <c r="B6" s="226" t="s">
        <v>72</v>
      </c>
      <c r="C6" s="199">
        <f>-'CÀLCUL QUOTES'!Q14</f>
        <v>186360.71245000002</v>
      </c>
    </row>
    <row r="7" spans="1:3">
      <c r="A7" s="312"/>
      <c r="B7" s="226" t="s">
        <v>73</v>
      </c>
      <c r="C7" s="199">
        <f>-'CÀLCUL QUOTES'!Q15</f>
        <v>548048.97</v>
      </c>
    </row>
    <row r="8" spans="1:3">
      <c r="A8" s="312"/>
      <c r="B8" s="226" t="s">
        <v>74</v>
      </c>
      <c r="C8" s="200">
        <f>-'CÀLCUL QUOTES'!Q16</f>
        <v>97163.225311942064</v>
      </c>
    </row>
    <row r="9" spans="1:3">
      <c r="A9" s="312"/>
      <c r="B9" s="227" t="s">
        <v>75</v>
      </c>
      <c r="C9" s="201">
        <f>SUM(C3:C8)</f>
        <v>3480022.4518259424</v>
      </c>
    </row>
  </sheetData>
  <sheetProtection sheet="1" objects="1" scenarios="1" selectLockedCells="1" selectUnlockedCells="1"/>
  <mergeCells count="2">
    <mergeCell ref="A2:B2"/>
    <mergeCell ref="A3:A9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</sheetPr>
  <dimension ref="A1:E8"/>
  <sheetViews>
    <sheetView zoomScale="90" zoomScaleNormal="90" workbookViewId="0">
      <selection activeCell="C8" sqref="C8"/>
    </sheetView>
  </sheetViews>
  <sheetFormatPr defaultColWidth="11.42578125" defaultRowHeight="12.75"/>
  <cols>
    <col min="1" max="1" width="26.42578125" customWidth="1"/>
    <col min="2" max="2" width="43.42578125" customWidth="1"/>
    <col min="3" max="3" width="13.7109375" customWidth="1"/>
    <col min="4" max="4" width="15.140625" customWidth="1"/>
    <col min="5" max="5" width="21.5703125" customWidth="1"/>
    <col min="6" max="6" width="14.7109375" customWidth="1"/>
    <col min="7" max="7" width="13.85546875" customWidth="1"/>
  </cols>
  <sheetData>
    <row r="1" spans="1:5" ht="12.75" customHeight="1"/>
    <row r="2" spans="1:5" ht="23.25">
      <c r="A2" s="330" t="s">
        <v>76</v>
      </c>
      <c r="B2" s="331"/>
      <c r="C2" s="102" t="s">
        <v>18</v>
      </c>
    </row>
    <row r="3" spans="1:5" s="164" customFormat="1">
      <c r="A3" s="327" t="s">
        <v>20</v>
      </c>
      <c r="B3" s="179" t="s">
        <v>77</v>
      </c>
      <c r="C3" s="198">
        <f>'CÀLCUL QUOTES'!Q18</f>
        <v>270601.51</v>
      </c>
      <c r="D3"/>
      <c r="E3"/>
    </row>
    <row r="4" spans="1:5" s="164" customFormat="1">
      <c r="A4" s="328"/>
      <c r="B4" s="177" t="s">
        <v>30</v>
      </c>
      <c r="C4" s="199">
        <f>'CÀLCUL QUOTES'!Q19</f>
        <v>51193.64</v>
      </c>
      <c r="D4"/>
      <c r="E4"/>
    </row>
    <row r="5" spans="1:5" s="164" customFormat="1">
      <c r="A5" s="328"/>
      <c r="B5" s="177" t="s">
        <v>31</v>
      </c>
      <c r="C5" s="199">
        <f>'CÀLCUL QUOTES'!Q20</f>
        <v>35802.770000000004</v>
      </c>
      <c r="D5"/>
      <c r="E5"/>
    </row>
    <row r="6" spans="1:5" s="164" customFormat="1">
      <c r="A6" s="328"/>
      <c r="B6" s="177" t="s">
        <v>32</v>
      </c>
      <c r="C6" s="199">
        <f>'CÀLCUL QUOTES'!Q21</f>
        <v>390514.64</v>
      </c>
      <c r="D6"/>
      <c r="E6"/>
    </row>
    <row r="7" spans="1:5" s="164" customFormat="1">
      <c r="A7" s="328"/>
      <c r="B7" s="177" t="s">
        <v>33</v>
      </c>
      <c r="C7" s="199">
        <f>'CÀLCUL QUOTES'!Q22</f>
        <v>49725.55999999999</v>
      </c>
      <c r="D7"/>
      <c r="E7"/>
    </row>
    <row r="8" spans="1:5" s="164" customFormat="1">
      <c r="A8" s="329"/>
      <c r="B8" s="178" t="s">
        <v>78</v>
      </c>
      <c r="C8" s="202">
        <f t="shared" ref="C8" si="0">SUM(C3:C7)</f>
        <v>797838.12</v>
      </c>
      <c r="D8"/>
      <c r="E8"/>
    </row>
  </sheetData>
  <sheetProtection sheet="1" objects="1" scenarios="1" selectLockedCells="1" selectUnlockedCells="1"/>
  <mergeCells count="2">
    <mergeCell ref="A3:A8"/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</sheetPr>
  <dimension ref="A1:BV56"/>
  <sheetViews>
    <sheetView topLeftCell="A46" zoomScale="90" zoomScaleNormal="90" workbookViewId="0">
      <selection activeCell="P60" sqref="P60"/>
    </sheetView>
  </sheetViews>
  <sheetFormatPr defaultColWidth="11.42578125" defaultRowHeight="12.75"/>
  <cols>
    <col min="1" max="1" width="25.5703125" bestFit="1" customWidth="1"/>
    <col min="2" max="2" width="44" customWidth="1"/>
    <col min="3" max="16" width="13.85546875" customWidth="1"/>
    <col min="17" max="17" width="15.140625" customWidth="1"/>
    <col min="18" max="18" width="21.5703125" customWidth="1"/>
    <col min="19" max="19" width="14.7109375" customWidth="1"/>
    <col min="20" max="20" width="13.85546875" customWidth="1"/>
    <col min="21" max="21" width="13.140625" customWidth="1"/>
    <col min="22" max="22" width="13.28515625" customWidth="1"/>
    <col min="23" max="23" width="13" bestFit="1" customWidth="1"/>
  </cols>
  <sheetData>
    <row r="1" spans="3:24" ht="15" hidden="1" customHeight="1">
      <c r="D1" s="334" t="s">
        <v>79</v>
      </c>
      <c r="E1" s="334"/>
      <c r="F1" s="334"/>
      <c r="G1" s="334"/>
      <c r="O1">
        <f>511/365</f>
        <v>1.4</v>
      </c>
    </row>
    <row r="2" spans="3:24" ht="15" hidden="1" customHeight="1">
      <c r="D2" s="5" t="s">
        <v>80</v>
      </c>
      <c r="E2" s="5" t="s">
        <v>80</v>
      </c>
      <c r="F2" s="5" t="s">
        <v>80</v>
      </c>
      <c r="G2" s="5" t="s">
        <v>80</v>
      </c>
      <c r="H2" s="48" t="s">
        <v>81</v>
      </c>
      <c r="I2" s="335" t="s">
        <v>82</v>
      </c>
      <c r="J2" s="336"/>
      <c r="K2" s="337"/>
      <c r="L2" s="5" t="s">
        <v>80</v>
      </c>
      <c r="M2" s="5"/>
      <c r="N2" s="5"/>
    </row>
    <row r="3" spans="3:24" ht="33.75" hidden="1" customHeight="1">
      <c r="C3" s="2" t="s">
        <v>83</v>
      </c>
      <c r="D3" s="6" t="s">
        <v>84</v>
      </c>
      <c r="E3" s="6" t="s">
        <v>85</v>
      </c>
      <c r="F3" s="6" t="s">
        <v>86</v>
      </c>
      <c r="G3" s="6" t="s">
        <v>87</v>
      </c>
      <c r="H3" s="6" t="s">
        <v>88</v>
      </c>
      <c r="I3" s="24" t="s">
        <v>89</v>
      </c>
      <c r="J3" s="24" t="s">
        <v>90</v>
      </c>
      <c r="K3" s="24" t="s">
        <v>91</v>
      </c>
      <c r="L3" s="6" t="s">
        <v>92</v>
      </c>
      <c r="M3" s="6" t="s">
        <v>18</v>
      </c>
      <c r="N3" s="7" t="s">
        <v>93</v>
      </c>
      <c r="O3" s="28" t="s">
        <v>94</v>
      </c>
      <c r="P3" s="28" t="s">
        <v>95</v>
      </c>
      <c r="U3" s="6" t="s">
        <v>96</v>
      </c>
    </row>
    <row r="4" spans="3:24" ht="12.75" hidden="1" customHeight="1">
      <c r="C4" s="8" t="s">
        <v>97</v>
      </c>
      <c r="D4" s="54">
        <v>108.57818181818183</v>
      </c>
      <c r="E4" s="54">
        <v>37.399636363636368</v>
      </c>
      <c r="F4" s="54">
        <v>27.587999999999997</v>
      </c>
      <c r="G4" s="54">
        <v>31.001708686755759</v>
      </c>
      <c r="H4" s="55">
        <v>175</v>
      </c>
      <c r="I4" s="54">
        <v>11.465</v>
      </c>
      <c r="J4" s="54">
        <v>4.056</v>
      </c>
      <c r="K4" s="18"/>
      <c r="L4" s="9">
        <v>52.210909090909091</v>
      </c>
      <c r="M4" s="9">
        <f>SUM(D4:L4)</f>
        <v>447.29943595948299</v>
      </c>
      <c r="N4" s="20">
        <f t="shared" ref="N4:N18" si="0">SUM(D4:K4)/M4</f>
        <v>0.88327526284732805</v>
      </c>
      <c r="O4" s="25" t="e">
        <f t="shared" ref="O4:O18" si="1">R4*1000/S4/365</f>
        <v>#DIV/0!</v>
      </c>
      <c r="P4" s="25">
        <f>M4*1000/U4/365</f>
        <v>1.5711255214593711</v>
      </c>
      <c r="U4" s="9">
        <v>780</v>
      </c>
    </row>
    <row r="5" spans="3:24" ht="15" hidden="1" customHeight="1">
      <c r="C5" s="8" t="s">
        <v>98</v>
      </c>
      <c r="D5" s="54">
        <v>512.34872727272727</v>
      </c>
      <c r="E5" s="54">
        <v>189.8607272727273</v>
      </c>
      <c r="F5" s="54">
        <v>138.2738181818182</v>
      </c>
      <c r="G5" s="54">
        <v>119.64643951291725</v>
      </c>
      <c r="H5" s="54">
        <v>56.948182266704194</v>
      </c>
      <c r="I5" s="54">
        <v>50.390999999999998</v>
      </c>
      <c r="J5" s="54">
        <v>17.555</v>
      </c>
      <c r="K5" s="18"/>
      <c r="L5" s="9">
        <v>303.25963636363645</v>
      </c>
      <c r="M5" s="9">
        <f t="shared" ref="M5:M16" si="2">SUM(D5:L5)</f>
        <v>1388.2835308705307</v>
      </c>
      <c r="N5" s="20">
        <f t="shared" si="0"/>
        <v>0.78155785211002549</v>
      </c>
      <c r="O5" s="25" t="e">
        <f t="shared" si="1"/>
        <v>#DIV/0!</v>
      </c>
      <c r="P5" s="25">
        <f t="shared" ref="P5:P18" si="3">M5*1000/U5/365</f>
        <v>0.7376874559606208</v>
      </c>
      <c r="U5" s="9">
        <v>5156</v>
      </c>
      <c r="X5" s="15" t="s">
        <v>99</v>
      </c>
    </row>
    <row r="6" spans="3:24" ht="12.75" hidden="1" customHeight="1">
      <c r="C6" s="8" t="s">
        <v>100</v>
      </c>
      <c r="D6" s="54">
        <v>194.64654545454547</v>
      </c>
      <c r="E6" s="54">
        <v>66.98181818181817</v>
      </c>
      <c r="F6" s="54">
        <v>40.470545454545444</v>
      </c>
      <c r="G6" s="54">
        <v>37.25642197918728</v>
      </c>
      <c r="H6" s="54">
        <v>32.79466500429313</v>
      </c>
      <c r="I6" s="54">
        <v>33.658999999999999</v>
      </c>
      <c r="J6" s="54">
        <v>5.1669999999999998</v>
      </c>
      <c r="K6" s="9">
        <v>164.62</v>
      </c>
      <c r="L6" s="9">
        <v>48.614181818181812</v>
      </c>
      <c r="M6" s="9">
        <f t="shared" si="2"/>
        <v>624.21017789257121</v>
      </c>
      <c r="N6" s="20">
        <f t="shared" si="0"/>
        <v>0.92211888953443422</v>
      </c>
      <c r="O6" s="25" t="e">
        <f t="shared" si="1"/>
        <v>#DIV/0!</v>
      </c>
      <c r="P6" s="25">
        <f t="shared" si="3"/>
        <v>0.94223959831325133</v>
      </c>
      <c r="U6" s="9">
        <v>1815</v>
      </c>
    </row>
    <row r="7" spans="3:24" ht="12.75" hidden="1" customHeight="1">
      <c r="C7" s="8" t="s">
        <v>101</v>
      </c>
      <c r="D7" s="54">
        <v>72.370909090909095</v>
      </c>
      <c r="E7" s="54">
        <v>24.488727272727274</v>
      </c>
      <c r="F7" s="54">
        <v>18.078545454545452</v>
      </c>
      <c r="G7" s="54">
        <v>19.44480808179118</v>
      </c>
      <c r="H7" s="54">
        <v>10.6</v>
      </c>
      <c r="I7" s="54">
        <v>6.6879999999999997</v>
      </c>
      <c r="J7" s="54">
        <v>3.2450000000000001</v>
      </c>
      <c r="K7" s="9">
        <v>37.43</v>
      </c>
      <c r="L7" s="9">
        <v>30.452727272727273</v>
      </c>
      <c r="M7" s="9">
        <f t="shared" si="2"/>
        <v>222.79871717270026</v>
      </c>
      <c r="N7" s="20">
        <f t="shared" si="0"/>
        <v>0.86331731322706784</v>
      </c>
      <c r="O7" s="25" t="e">
        <f t="shared" si="1"/>
        <v>#DIV/0!</v>
      </c>
      <c r="P7" s="25">
        <f t="shared" si="3"/>
        <v>1.1409484940350803</v>
      </c>
      <c r="U7" s="9">
        <v>535</v>
      </c>
    </row>
    <row r="8" spans="3:24" ht="12.75" hidden="1" customHeight="1">
      <c r="C8" s="8" t="s">
        <v>102</v>
      </c>
      <c r="D8" s="54">
        <v>98.091272727272724</v>
      </c>
      <c r="E8" s="54">
        <v>37.646181818181816</v>
      </c>
      <c r="F8" s="54">
        <v>24.679636363636362</v>
      </c>
      <c r="G8" s="54">
        <v>24.338251611077048</v>
      </c>
      <c r="H8" s="54">
        <v>83.153961063811607</v>
      </c>
      <c r="I8" s="54">
        <v>8.4809999999999999</v>
      </c>
      <c r="J8" s="54">
        <v>2.4123600000000001</v>
      </c>
      <c r="K8" s="9">
        <v>13.95</v>
      </c>
      <c r="L8" s="9">
        <v>37.18690909090909</v>
      </c>
      <c r="M8" s="9">
        <f t="shared" si="2"/>
        <v>329.93957267488861</v>
      </c>
      <c r="N8" s="20">
        <f t="shared" si="0"/>
        <v>0.88729175833796758</v>
      </c>
      <c r="O8" s="25" t="e">
        <f t="shared" si="1"/>
        <v>#DIV/0!</v>
      </c>
      <c r="P8" s="25">
        <f t="shared" si="3"/>
        <v>0.90484888360933147</v>
      </c>
      <c r="U8" s="9">
        <v>999</v>
      </c>
    </row>
    <row r="9" spans="3:24" ht="12.75" hidden="1" customHeight="1">
      <c r="C9" s="8" t="s">
        <v>103</v>
      </c>
      <c r="D9" s="54">
        <v>135.03381818181819</v>
      </c>
      <c r="E9" s="54">
        <v>46.80981818181818</v>
      </c>
      <c r="F9" s="54">
        <v>28.746545454545455</v>
      </c>
      <c r="G9" s="54">
        <v>26.277667502297692</v>
      </c>
      <c r="H9" s="54">
        <v>26.713434220761545</v>
      </c>
      <c r="I9" s="54">
        <v>9.7899999999999991</v>
      </c>
      <c r="J9" s="54">
        <v>3.2827699999999989</v>
      </c>
      <c r="K9" s="9">
        <v>40.450000000000003</v>
      </c>
      <c r="L9" s="9">
        <v>37.896000000000001</v>
      </c>
      <c r="M9" s="9">
        <f t="shared" si="2"/>
        <v>355.00005354124107</v>
      </c>
      <c r="N9" s="20">
        <f t="shared" si="0"/>
        <v>0.89325072032532082</v>
      </c>
      <c r="O9" s="25" t="e">
        <f t="shared" si="1"/>
        <v>#DIV/0!</v>
      </c>
      <c r="P9" s="25">
        <f t="shared" si="3"/>
        <v>0.86071051895076034</v>
      </c>
      <c r="U9" s="9">
        <v>1130</v>
      </c>
    </row>
    <row r="10" spans="3:24" ht="12.75" hidden="1" customHeight="1">
      <c r="C10" s="8" t="s">
        <v>104</v>
      </c>
      <c r="D10" s="54">
        <v>267.86290909090911</v>
      </c>
      <c r="E10" s="54">
        <v>82.666909090909087</v>
      </c>
      <c r="F10" s="54">
        <v>64.944000000000003</v>
      </c>
      <c r="G10" s="54">
        <v>59.907237032379506</v>
      </c>
      <c r="H10" s="54">
        <v>51.9103413966752</v>
      </c>
      <c r="I10" s="54">
        <v>37.427</v>
      </c>
      <c r="J10" s="54">
        <v>9.7721599999999977</v>
      </c>
      <c r="K10" s="9">
        <v>12.44</v>
      </c>
      <c r="L10" s="9">
        <v>105.34363636363636</v>
      </c>
      <c r="M10" s="9">
        <f t="shared" si="2"/>
        <v>692.27419297450933</v>
      </c>
      <c r="N10" s="20">
        <f t="shared" si="0"/>
        <v>0.84782960648727335</v>
      </c>
      <c r="O10" s="25" t="e">
        <f t="shared" si="1"/>
        <v>#DIV/0!</v>
      </c>
      <c r="P10" s="25">
        <f t="shared" si="3"/>
        <v>0.70428578707304001</v>
      </c>
      <c r="U10" s="9">
        <v>2693</v>
      </c>
    </row>
    <row r="11" spans="3:24" ht="12.75" hidden="1" customHeight="1">
      <c r="C11" s="8" t="s">
        <v>105</v>
      </c>
      <c r="D11" s="54">
        <v>41.303999999999995</v>
      </c>
      <c r="E11" s="54">
        <v>14.247272727272726</v>
      </c>
      <c r="F11" s="54">
        <v>8.2679999999999989</v>
      </c>
      <c r="G11" s="54">
        <v>7.0116493423360762</v>
      </c>
      <c r="H11" s="54"/>
      <c r="I11" s="54">
        <v>6.0739999999999998</v>
      </c>
      <c r="J11" s="54"/>
      <c r="K11" s="9">
        <v>15.03</v>
      </c>
      <c r="L11" s="9">
        <v>7.6363636363636385</v>
      </c>
      <c r="M11" s="9">
        <f t="shared" si="2"/>
        <v>99.571285705972429</v>
      </c>
      <c r="N11" s="20">
        <f t="shared" si="0"/>
        <v>0.92330757223610305</v>
      </c>
      <c r="O11" s="25" t="e">
        <f t="shared" si="1"/>
        <v>#DIV/0!</v>
      </c>
      <c r="P11" s="25">
        <f t="shared" si="3"/>
        <v>0.8167606078744355</v>
      </c>
      <c r="U11" s="9">
        <v>334</v>
      </c>
    </row>
    <row r="12" spans="3:24" ht="12.75" hidden="1" customHeight="1">
      <c r="C12" s="8" t="s">
        <v>106</v>
      </c>
      <c r="D12" s="54">
        <v>66.910909090909087</v>
      </c>
      <c r="E12" s="54">
        <v>24.190909090909091</v>
      </c>
      <c r="F12" s="54">
        <v>17.426181818181817</v>
      </c>
      <c r="G12" s="54">
        <v>13.193480988623591</v>
      </c>
      <c r="H12" s="54">
        <f>1.72*12</f>
        <v>20.64</v>
      </c>
      <c r="I12" s="54">
        <v>7.8479999999999999</v>
      </c>
      <c r="J12" s="54">
        <v>1.1200000000000001</v>
      </c>
      <c r="K12" s="9">
        <v>9.56</v>
      </c>
      <c r="L12" s="9">
        <v>14.527636363636365</v>
      </c>
      <c r="M12" s="9">
        <f t="shared" si="2"/>
        <v>175.41711735225996</v>
      </c>
      <c r="N12" s="20">
        <f t="shared" si="0"/>
        <v>0.91718233326988829</v>
      </c>
      <c r="O12" s="25" t="e">
        <f t="shared" si="1"/>
        <v>#DIV/0!</v>
      </c>
      <c r="P12" s="25">
        <f t="shared" si="3"/>
        <v>0.65744848435155434</v>
      </c>
      <c r="U12" s="9">
        <v>731</v>
      </c>
    </row>
    <row r="13" spans="3:24" ht="12.75" hidden="1" customHeight="1">
      <c r="C13" s="8" t="s">
        <v>107</v>
      </c>
      <c r="D13" s="54">
        <v>341.52000000000004</v>
      </c>
      <c r="E13" s="54">
        <v>128.23745454545454</v>
      </c>
      <c r="F13" s="54">
        <v>78.765818181818176</v>
      </c>
      <c r="G13" s="54">
        <v>66.518884435703967</v>
      </c>
      <c r="H13" s="54">
        <v>54.994590264260829</v>
      </c>
      <c r="I13" s="54">
        <v>50.320999999999998</v>
      </c>
      <c r="J13" s="54">
        <v>18.23695</v>
      </c>
      <c r="K13" s="9">
        <v>84.23</v>
      </c>
      <c r="L13" s="9">
        <v>111.65781818181819</v>
      </c>
      <c r="M13" s="9">
        <f t="shared" si="2"/>
        <v>934.48251560905578</v>
      </c>
      <c r="N13" s="20">
        <f t="shared" si="0"/>
        <v>0.88051374282905193</v>
      </c>
      <c r="O13" s="25" t="e">
        <f t="shared" si="1"/>
        <v>#DIV/0!</v>
      </c>
      <c r="P13" s="25">
        <f t="shared" si="3"/>
        <v>0.65545982339011688</v>
      </c>
      <c r="U13" s="9">
        <v>3906</v>
      </c>
    </row>
    <row r="14" spans="3:24" ht="12.75" hidden="1" customHeight="1">
      <c r="C14" s="8" t="s">
        <v>108</v>
      </c>
      <c r="D14" s="54">
        <v>380.49818181818176</v>
      </c>
      <c r="E14" s="54">
        <v>135.97854545454547</v>
      </c>
      <c r="F14" s="54">
        <v>102.70472727272725</v>
      </c>
      <c r="G14" s="54">
        <v>99.733299714928279</v>
      </c>
      <c r="H14" s="54">
        <v>29.37</v>
      </c>
      <c r="I14" s="54"/>
      <c r="J14" s="54">
        <v>1.3109999999999999</v>
      </c>
      <c r="K14" s="9">
        <v>323.94</v>
      </c>
      <c r="L14" s="9">
        <v>117.31963636363636</v>
      </c>
      <c r="M14" s="9">
        <f t="shared" si="2"/>
        <v>1190.8553906240193</v>
      </c>
      <c r="N14" s="20">
        <f t="shared" si="0"/>
        <v>0.9014828859260906</v>
      </c>
      <c r="O14" s="25" t="e">
        <f t="shared" si="1"/>
        <v>#DIV/0!</v>
      </c>
      <c r="P14" s="25">
        <f t="shared" si="3"/>
        <v>0.79868237663621966</v>
      </c>
      <c r="U14" s="9">
        <v>4085</v>
      </c>
    </row>
    <row r="15" spans="3:24" ht="12.75" hidden="1" customHeight="1">
      <c r="C15" s="8" t="s">
        <v>109</v>
      </c>
      <c r="D15" s="54">
        <v>59.131636363636375</v>
      </c>
      <c r="E15" s="54">
        <v>20.378181818181819</v>
      </c>
      <c r="F15" s="54">
        <v>11.827636363636362</v>
      </c>
      <c r="G15" s="54">
        <v>10.031346197027338</v>
      </c>
      <c r="H15" s="54"/>
      <c r="I15" s="54">
        <v>7.0179999999999998</v>
      </c>
      <c r="J15" s="54">
        <v>0.72175999999999985</v>
      </c>
      <c r="K15" s="9">
        <v>18.57</v>
      </c>
      <c r="L15" s="9">
        <v>11.098909090909093</v>
      </c>
      <c r="M15" s="9">
        <f t="shared" si="2"/>
        <v>138.777469833391</v>
      </c>
      <c r="N15" s="20">
        <f t="shared" si="0"/>
        <v>0.92002369617896995</v>
      </c>
      <c r="O15" s="25" t="e">
        <f t="shared" si="1"/>
        <v>#DIV/0!</v>
      </c>
      <c r="P15" s="25">
        <f t="shared" si="3"/>
        <v>0.73827620605607658</v>
      </c>
      <c r="U15" s="9">
        <v>515</v>
      </c>
    </row>
    <row r="16" spans="3:24" ht="12.75" hidden="1" customHeight="1">
      <c r="C16" s="8" t="s">
        <v>110</v>
      </c>
      <c r="D16" s="54">
        <v>309.93163636363636</v>
      </c>
      <c r="E16" s="54">
        <v>128.55818181818182</v>
      </c>
      <c r="F16" s="54">
        <v>86.070545454545439</v>
      </c>
      <c r="G16" s="54">
        <v>90.691398670532649</v>
      </c>
      <c r="H16" s="54">
        <f>93.2402896085801+30.3591861164088</f>
        <v>123.59947572498891</v>
      </c>
      <c r="I16" s="54">
        <f>24.8355+8.2785</f>
        <v>33.113999999999997</v>
      </c>
      <c r="J16" s="54"/>
      <c r="K16" s="9">
        <v>164.58</v>
      </c>
      <c r="L16" s="9">
        <v>106.38545454545454</v>
      </c>
      <c r="M16" s="9">
        <f t="shared" si="2"/>
        <v>1042.9306925773399</v>
      </c>
      <c r="N16" s="20">
        <f t="shared" si="0"/>
        <v>0.89799374464419124</v>
      </c>
      <c r="O16" s="25" t="e">
        <f t="shared" si="1"/>
        <v>#DIV/0!</v>
      </c>
      <c r="P16" s="25">
        <f t="shared" si="3"/>
        <v>0.78866805498912185</v>
      </c>
      <c r="U16" s="9">
        <v>3623</v>
      </c>
    </row>
    <row r="17" spans="3:24" ht="12.75" hidden="1" customHeight="1">
      <c r="C17" s="8" t="s">
        <v>111</v>
      </c>
      <c r="D17" s="54">
        <v>498.39490909090898</v>
      </c>
      <c r="E17" s="54">
        <v>192.99927272727274</v>
      </c>
      <c r="F17" s="54">
        <v>123.56836363636361</v>
      </c>
      <c r="G17" s="54">
        <v>106.46423145763629</v>
      </c>
      <c r="H17" s="54">
        <v>45.468660194653992</v>
      </c>
      <c r="I17" s="54"/>
      <c r="J17" s="54">
        <v>22.763999999999999</v>
      </c>
      <c r="K17" s="9">
        <v>328.02</v>
      </c>
      <c r="L17" s="9">
        <v>195.81381818181816</v>
      </c>
      <c r="M17" s="9">
        <f>SUM(D17:L17)</f>
        <v>1513.4932552886539</v>
      </c>
      <c r="N17" s="20">
        <f t="shared" si="0"/>
        <v>0.87062128126598592</v>
      </c>
      <c r="O17" s="25" t="e">
        <f t="shared" si="1"/>
        <v>#DIV/0!</v>
      </c>
      <c r="P17" s="25">
        <f>M17*1000/U17/365</f>
        <v>0.78325592440584269</v>
      </c>
      <c r="U17" s="9">
        <v>5294</v>
      </c>
    </row>
    <row r="18" spans="3:24" ht="12.75" hidden="1" customHeight="1">
      <c r="C18" s="4" t="s">
        <v>18</v>
      </c>
      <c r="D18" s="56">
        <f>SUM(D4:D17)</f>
        <v>3086.6236363636367</v>
      </c>
      <c r="E18" s="56">
        <f t="shared" ref="E18:M18" si="4">SUM(E4:E17)</f>
        <v>1130.4436363636364</v>
      </c>
      <c r="F18" s="10">
        <f t="shared" si="4"/>
        <v>771.41236363636358</v>
      </c>
      <c r="G18" s="10">
        <f t="shared" si="4"/>
        <v>711.5168252131939</v>
      </c>
      <c r="H18" s="10">
        <f t="shared" si="4"/>
        <v>711.19331013614942</v>
      </c>
      <c r="I18" s="10">
        <f t="shared" si="4"/>
        <v>262.27600000000001</v>
      </c>
      <c r="J18" s="10">
        <f t="shared" si="4"/>
        <v>89.644000000000005</v>
      </c>
      <c r="K18" s="56">
        <f t="shared" si="4"/>
        <v>1212.8200000000002</v>
      </c>
      <c r="L18" s="56">
        <f t="shared" si="4"/>
        <v>1179.4036363636365</v>
      </c>
      <c r="M18" s="56">
        <f t="shared" si="4"/>
        <v>9155.3334080766144</v>
      </c>
      <c r="N18" s="21">
        <f t="shared" si="0"/>
        <v>0.87117851597592377</v>
      </c>
      <c r="O18" s="27" t="e">
        <f t="shared" si="1"/>
        <v>#DIV/0!</v>
      </c>
      <c r="P18" s="27">
        <f t="shared" si="3"/>
        <v>0.79386964260055581</v>
      </c>
      <c r="U18" s="10">
        <f>SUM(U4:U17)</f>
        <v>31596</v>
      </c>
    </row>
    <row r="19" spans="3:24" ht="15" hidden="1" customHeight="1">
      <c r="C19" s="5"/>
      <c r="D19" s="22">
        <f t="shared" ref="D19:L19" si="5">D18/$M$18</f>
        <v>0.33713940266126102</v>
      </c>
      <c r="E19" s="22">
        <f t="shared" si="5"/>
        <v>0.12347378145359363</v>
      </c>
      <c r="F19" s="22">
        <f t="shared" si="5"/>
        <v>8.4258249181383416E-2</v>
      </c>
      <c r="G19" s="22">
        <f t="shared" si="5"/>
        <v>7.7716102024805667E-2</v>
      </c>
      <c r="H19" s="22">
        <f t="shared" si="5"/>
        <v>7.7680765782789721E-2</v>
      </c>
      <c r="I19" s="22">
        <f t="shared" si="5"/>
        <v>2.864734557549007E-2</v>
      </c>
      <c r="J19" s="22">
        <f t="shared" si="5"/>
        <v>9.7914511688802323E-3</v>
      </c>
      <c r="K19" s="22">
        <f t="shared" si="5"/>
        <v>0.13247141812771993</v>
      </c>
      <c r="L19" s="22">
        <f t="shared" si="5"/>
        <v>0.12882148402407662</v>
      </c>
      <c r="M19" s="22">
        <f>SUM(D19:L19)</f>
        <v>1.0000000000000002</v>
      </c>
      <c r="N19" s="5"/>
    </row>
    <row r="20" spans="3:24" ht="12.75" hidden="1" customHeight="1"/>
    <row r="21" spans="3:24" ht="12.75" hidden="1" customHeight="1">
      <c r="C21" s="8"/>
      <c r="D21" s="16"/>
    </row>
    <row r="22" spans="3:24" ht="12.75" hidden="1" customHeight="1">
      <c r="C22" s="8" t="s">
        <v>112</v>
      </c>
      <c r="D22" s="12">
        <v>92.29</v>
      </c>
    </row>
    <row r="23" spans="3:24" ht="12.75" hidden="1" customHeight="1">
      <c r="C23" s="8" t="s">
        <v>1</v>
      </c>
      <c r="D23" s="43" t="s">
        <v>2</v>
      </c>
    </row>
    <row r="24" spans="3:24" ht="12.75" hidden="1" customHeight="1">
      <c r="U24" s="1"/>
      <c r="V24" s="1"/>
      <c r="W24" s="1"/>
      <c r="X24" s="1"/>
    </row>
    <row r="25" spans="3:24" ht="12.75" hidden="1" customHeight="1">
      <c r="U25" s="1"/>
      <c r="V25" s="1"/>
      <c r="W25" s="1"/>
      <c r="X25" s="1"/>
    </row>
    <row r="26" spans="3:24" ht="12.75" hidden="1" customHeight="1">
      <c r="G26" s="338" t="s">
        <v>113</v>
      </c>
      <c r="H26" s="338"/>
      <c r="I26" s="338"/>
      <c r="J26" s="160"/>
      <c r="K26" s="160"/>
      <c r="L26" s="160"/>
      <c r="M26" s="156"/>
      <c r="N26" s="1"/>
      <c r="O26" s="1"/>
      <c r="P26" s="1"/>
      <c r="U26" s="1"/>
      <c r="V26" s="1"/>
      <c r="W26" s="1"/>
      <c r="X26" s="1"/>
    </row>
    <row r="27" spans="3:24" ht="12.75" hidden="1" customHeight="1">
      <c r="D27" s="6" t="s">
        <v>114</v>
      </c>
      <c r="E27" s="6" t="s">
        <v>115</v>
      </c>
      <c r="F27" s="40" t="s">
        <v>116</v>
      </c>
      <c r="G27" s="40" t="s">
        <v>117</v>
      </c>
      <c r="H27" s="40" t="s">
        <v>118</v>
      </c>
      <c r="I27" s="40" t="s">
        <v>119</v>
      </c>
      <c r="J27" s="49" t="s">
        <v>120</v>
      </c>
      <c r="K27" s="160"/>
      <c r="L27" s="49" t="s">
        <v>121</v>
      </c>
      <c r="M27" s="160"/>
      <c r="N27" s="160"/>
      <c r="O27" s="160"/>
      <c r="P27" s="160"/>
      <c r="U27" s="1"/>
      <c r="V27" s="1"/>
      <c r="W27" s="1"/>
      <c r="X27" s="1"/>
    </row>
    <row r="28" spans="3:24" ht="12.75" hidden="1" customHeight="1">
      <c r="C28" s="8" t="s">
        <v>97</v>
      </c>
      <c r="D28" s="3" t="e">
        <f>-#REF!-(-#REF!*0.1%)</f>
        <v>#REF!</v>
      </c>
      <c r="E28" s="3" t="e">
        <f>D28*0.0318</f>
        <v>#REF!</v>
      </c>
      <c r="F28" s="3">
        <f t="shared" ref="F28:F41" si="6">-D4*$D$22</f>
        <v>-10020.680400000001</v>
      </c>
      <c r="G28" s="3">
        <v>2233.3921471768117</v>
      </c>
      <c r="H28" s="3">
        <v>1296.450008096067</v>
      </c>
      <c r="I28" s="3">
        <v>12765.434662706888</v>
      </c>
      <c r="J28" s="3">
        <v>6406.3936076339996</v>
      </c>
      <c r="K28" s="3" t="e">
        <f>J28+#REF!</f>
        <v>#REF!</v>
      </c>
      <c r="L28" s="3">
        <v>719.12796502610718</v>
      </c>
      <c r="M28" s="52" t="s">
        <v>97</v>
      </c>
      <c r="O28" s="41"/>
      <c r="P28" s="41"/>
      <c r="U28" s="1"/>
      <c r="V28" s="1"/>
      <c r="W28" s="45"/>
      <c r="X28" s="1"/>
    </row>
    <row r="29" spans="3:24" ht="12.75" hidden="1" customHeight="1">
      <c r="C29" s="8" t="s">
        <v>98</v>
      </c>
      <c r="D29" s="3" t="e">
        <f>-#REF!-(-#REF!*0.1%)</f>
        <v>#REF!</v>
      </c>
      <c r="E29" s="3" t="e">
        <f t="shared" ref="E29:E41" si="7">D29*0.0318</f>
        <v>#REF!</v>
      </c>
      <c r="F29" s="3">
        <f t="shared" si="6"/>
        <v>-47284.664040000003</v>
      </c>
      <c r="G29" s="3">
        <v>6917.0806147980002</v>
      </c>
      <c r="H29" s="3">
        <v>6591.8000297627814</v>
      </c>
      <c r="I29" s="3">
        <v>59654.765342435814</v>
      </c>
      <c r="J29" s="3">
        <v>26572.140897976322</v>
      </c>
      <c r="K29" s="3" t="e">
        <f>J29+#REF!</f>
        <v>#REF!</v>
      </c>
      <c r="L29" s="3">
        <v>3501.9527220565428</v>
      </c>
      <c r="M29" s="52" t="s">
        <v>98</v>
      </c>
      <c r="O29" s="41"/>
      <c r="P29" s="41"/>
      <c r="U29" s="1"/>
      <c r="V29" s="1"/>
      <c r="W29" s="45"/>
      <c r="X29" s="1"/>
    </row>
    <row r="30" spans="3:24" ht="12.75" hidden="1" customHeight="1">
      <c r="C30" s="8" t="s">
        <v>100</v>
      </c>
      <c r="D30" s="3" t="e">
        <f>-#REF!-(-#REF!*0.1%)</f>
        <v>#REF!</v>
      </c>
      <c r="E30" s="3" t="e">
        <f t="shared" si="7"/>
        <v>#REF!</v>
      </c>
      <c r="F30" s="3">
        <f t="shared" si="6"/>
        <v>-17963.929680000005</v>
      </c>
      <c r="G30" s="3">
        <v>2692.6233444613181</v>
      </c>
      <c r="H30" s="3">
        <v>1899.6801905050174</v>
      </c>
      <c r="I30" s="3">
        <v>22942.754243737698</v>
      </c>
      <c r="J30" s="3">
        <v>11507.242524558</v>
      </c>
      <c r="K30" s="3" t="e">
        <f>J30+#REF!</f>
        <v>#REF!</v>
      </c>
      <c r="L30" s="3">
        <v>2127.0494292791982</v>
      </c>
      <c r="M30" s="52" t="s">
        <v>100</v>
      </c>
      <c r="O30" s="41"/>
      <c r="P30" s="41"/>
      <c r="U30" s="1"/>
      <c r="V30" s="1"/>
      <c r="W30" s="45"/>
      <c r="X30" s="1"/>
    </row>
    <row r="31" spans="3:24" ht="12.75" hidden="1" customHeight="1">
      <c r="C31" s="8" t="s">
        <v>101</v>
      </c>
      <c r="D31" s="3" t="e">
        <f>-#REF!-(-#REF!*0.1%)</f>
        <v>#REF!</v>
      </c>
      <c r="E31" s="3" t="e">
        <f t="shared" si="7"/>
        <v>#REF!</v>
      </c>
      <c r="F31" s="3">
        <f t="shared" si="6"/>
        <v>-6679.1112000000012</v>
      </c>
      <c r="G31" s="3">
        <v>1401.7061360812827</v>
      </c>
      <c r="H31" s="3">
        <v>849.32585945872393</v>
      </c>
      <c r="I31" s="3">
        <v>8375.1216567014017</v>
      </c>
      <c r="J31" s="3">
        <v>4269.9548502779999</v>
      </c>
      <c r="K31" s="3" t="e">
        <f>J31+#REF!</f>
        <v>#REF!</v>
      </c>
      <c r="L31" s="3">
        <v>544.37615914897083</v>
      </c>
      <c r="M31" s="52" t="s">
        <v>101</v>
      </c>
      <c r="O31" s="41"/>
      <c r="P31" s="41"/>
      <c r="U31" s="1"/>
      <c r="V31" s="1"/>
      <c r="W31" s="45"/>
      <c r="X31" s="1"/>
    </row>
    <row r="32" spans="3:24" ht="12.75" hidden="1" customHeight="1">
      <c r="C32" s="8" t="s">
        <v>102</v>
      </c>
      <c r="D32" s="3" t="e">
        <f>-#REF!-(-#REF!*0.1%)</f>
        <v>#REF!</v>
      </c>
      <c r="E32" s="3" t="e">
        <f t="shared" si="7"/>
        <v>#REF!</v>
      </c>
      <c r="F32" s="3">
        <f t="shared" si="6"/>
        <v>-9052.8435600000012</v>
      </c>
      <c r="G32" s="3">
        <v>1754.9173886056567</v>
      </c>
      <c r="H32" s="3">
        <v>1161.6677457831649</v>
      </c>
      <c r="I32" s="3">
        <v>12863.191730635868</v>
      </c>
      <c r="J32" s="3">
        <v>5787.6062081460004</v>
      </c>
      <c r="K32" s="3" t="e">
        <f>J32+#REF!</f>
        <v>#REF!</v>
      </c>
      <c r="L32" s="3">
        <v>559.19343616963386</v>
      </c>
      <c r="M32" s="52" t="s">
        <v>102</v>
      </c>
      <c r="O32" s="41"/>
      <c r="P32" s="41"/>
      <c r="U32" s="1"/>
      <c r="V32" s="1"/>
      <c r="W32" s="45"/>
      <c r="X32" s="1"/>
    </row>
    <row r="33" spans="1:26" ht="12.75" hidden="1" customHeight="1">
      <c r="C33" s="8" t="s">
        <v>103</v>
      </c>
      <c r="D33" s="3" t="e">
        <f>-#REF!-(-#REF!*0.1%)</f>
        <v>#REF!</v>
      </c>
      <c r="E33" s="3" t="e">
        <f t="shared" si="7"/>
        <v>#REF!</v>
      </c>
      <c r="F33" s="3">
        <f t="shared" si="6"/>
        <v>-12462.271080000002</v>
      </c>
      <c r="G33" s="3">
        <v>1898.6972761934182</v>
      </c>
      <c r="H33" s="3">
        <v>1349.5698017184839</v>
      </c>
      <c r="I33" s="3">
        <v>16032.852440864026</v>
      </c>
      <c r="J33" s="3">
        <v>7980.2741682420001</v>
      </c>
      <c r="K33" s="3" t="e">
        <f>J33+#REF!</f>
        <v>#REF!</v>
      </c>
      <c r="L33" s="3">
        <v>617.97532667112819</v>
      </c>
      <c r="M33" s="52" t="s">
        <v>103</v>
      </c>
      <c r="O33" s="41"/>
      <c r="P33" s="41"/>
      <c r="U33" s="1"/>
      <c r="V33" s="1"/>
      <c r="W33" s="45"/>
      <c r="X33" s="1"/>
    </row>
    <row r="34" spans="1:26" ht="12.75" hidden="1" customHeight="1">
      <c r="C34" s="8" t="s">
        <v>104</v>
      </c>
      <c r="D34" s="3" t="e">
        <f>-#REF!-(-#REF!*0.1%)</f>
        <v>#REF!</v>
      </c>
      <c r="E34" s="3" t="e">
        <f t="shared" si="7"/>
        <v>#REF!</v>
      </c>
      <c r="F34" s="3">
        <f t="shared" si="6"/>
        <v>-24721.067880000002</v>
      </c>
      <c r="G34" s="3">
        <v>4323.2631427129118</v>
      </c>
      <c r="H34" s="3">
        <v>3061.8391618200603</v>
      </c>
      <c r="I34" s="3">
        <v>28308.678692048186</v>
      </c>
      <c r="J34" s="3">
        <v>15773.760480258001</v>
      </c>
      <c r="K34" s="3" t="e">
        <f>J34+#REF!</f>
        <v>#REF!</v>
      </c>
      <c r="L34" s="3">
        <v>2696.8513240109578</v>
      </c>
      <c r="M34" s="52" t="s">
        <v>104</v>
      </c>
      <c r="O34" s="41"/>
      <c r="P34" s="41"/>
      <c r="U34" s="1"/>
      <c r="V34" s="1"/>
      <c r="W34" s="45"/>
      <c r="X34" s="1"/>
    </row>
    <row r="35" spans="1:26" ht="12.75" hidden="1" customHeight="1">
      <c r="C35" s="8" t="s">
        <v>105</v>
      </c>
      <c r="D35" s="3" t="e">
        <f>-#REF!-(-#REF!*0.1%)</f>
        <v>#REF!</v>
      </c>
      <c r="E35" s="3" t="e">
        <f t="shared" si="7"/>
        <v>#REF!</v>
      </c>
      <c r="F35" s="3">
        <f t="shared" si="6"/>
        <v>-3811.94616</v>
      </c>
      <c r="G35" s="3">
        <v>507.51474925301432</v>
      </c>
      <c r="H35" s="3">
        <v>387.94065141469628</v>
      </c>
      <c r="I35" s="3">
        <v>4879.9486259556725</v>
      </c>
      <c r="J35" s="3">
        <v>2441.7738243119998</v>
      </c>
      <c r="K35" s="3" t="e">
        <f>J35+#REF!</f>
        <v>#REF!</v>
      </c>
      <c r="L35" s="3">
        <v>414.34702588844783</v>
      </c>
      <c r="M35" s="52" t="s">
        <v>105</v>
      </c>
      <c r="O35" s="41"/>
      <c r="P35" s="41"/>
      <c r="U35" s="1"/>
      <c r="V35" s="1"/>
      <c r="W35" s="45"/>
      <c r="X35" s="1"/>
    </row>
    <row r="36" spans="1:26" ht="12.75" hidden="1" customHeight="1">
      <c r="C36" s="8" t="s">
        <v>106</v>
      </c>
      <c r="D36" s="3" t="e">
        <f>-#REF!-(-#REF!*0.1%)</f>
        <v>#REF!</v>
      </c>
      <c r="E36" s="3" t="e">
        <f t="shared" si="7"/>
        <v>#REF!</v>
      </c>
      <c r="F36" s="3">
        <f t="shared" si="6"/>
        <v>-6175.2078000000001</v>
      </c>
      <c r="G36" s="3">
        <v>957.18623746758226</v>
      </c>
      <c r="H36" s="3">
        <v>819.89610556201478</v>
      </c>
      <c r="I36" s="3">
        <v>8285.6999461691903</v>
      </c>
      <c r="J36" s="3">
        <v>3950.3466139319999</v>
      </c>
      <c r="K36" s="3" t="e">
        <f>J36+#REF!</f>
        <v>#REF!</v>
      </c>
      <c r="L36" s="3">
        <v>508.13159673909053</v>
      </c>
      <c r="M36" s="52" t="s">
        <v>106</v>
      </c>
      <c r="O36" s="41"/>
      <c r="P36" s="41"/>
      <c r="U36" s="1"/>
      <c r="V36" s="1"/>
      <c r="W36" s="45"/>
      <c r="X36" s="1"/>
    </row>
    <row r="37" spans="1:26" ht="12.75" hidden="1" customHeight="1">
      <c r="C37" s="8" t="s">
        <v>107</v>
      </c>
      <c r="D37" s="3" t="e">
        <f>-#REF!-(-#REF!*0.1%)</f>
        <v>#REF!</v>
      </c>
      <c r="E37" s="3" t="e">
        <f t="shared" si="7"/>
        <v>#REF!</v>
      </c>
      <c r="F37" s="3">
        <f t="shared" si="6"/>
        <v>-31518.880800000006</v>
      </c>
      <c r="G37" s="3">
        <v>4819.3202651864121</v>
      </c>
      <c r="H37" s="3">
        <v>3703.5034738555473</v>
      </c>
      <c r="I37" s="3">
        <v>43922.91822005545</v>
      </c>
      <c r="J37" s="3">
        <v>20146.402871646002</v>
      </c>
      <c r="K37" s="3" t="e">
        <f>J37+#REF!</f>
        <v>#REF!</v>
      </c>
      <c r="L37" s="3">
        <v>3473.8779395852184</v>
      </c>
      <c r="M37" s="52" t="s">
        <v>107</v>
      </c>
      <c r="O37" s="41"/>
      <c r="P37" s="41"/>
      <c r="U37" s="1"/>
      <c r="V37" s="1"/>
      <c r="W37" s="45"/>
      <c r="X37" s="1"/>
    </row>
    <row r="38" spans="1:26" ht="12.75" hidden="1" customHeight="1">
      <c r="C38" s="8" t="s">
        <v>108</v>
      </c>
      <c r="D38" s="3" t="e">
        <f>-#REF!-(-#REF!*0.1%)</f>
        <v>#REF!</v>
      </c>
      <c r="E38" s="3" t="e">
        <f t="shared" si="7"/>
        <v>#REF!</v>
      </c>
      <c r="F38" s="3">
        <f t="shared" si="6"/>
        <v>-35116.177199999998</v>
      </c>
      <c r="G38" s="3">
        <v>7222.4203040169205</v>
      </c>
      <c r="H38" s="3">
        <v>4824.3284855737311</v>
      </c>
      <c r="I38" s="3">
        <v>46515.877744509395</v>
      </c>
      <c r="J38" s="3">
        <v>22503.022353780001</v>
      </c>
      <c r="K38" s="3" t="e">
        <f>J38+#REF!</f>
        <v>#REF!</v>
      </c>
      <c r="M38" s="52" t="s">
        <v>108</v>
      </c>
      <c r="O38" s="41"/>
      <c r="P38" s="41"/>
      <c r="U38" s="1"/>
      <c r="V38" s="1"/>
      <c r="W38" s="45"/>
      <c r="X38" s="1"/>
    </row>
    <row r="39" spans="1:26" ht="12.75" hidden="1" customHeight="1">
      <c r="C39" s="8" t="s">
        <v>109</v>
      </c>
      <c r="D39" s="3" t="e">
        <f>-#REF!-(-#REF!*0.1%)</f>
        <v>#REF!</v>
      </c>
      <c r="E39" s="3" t="e">
        <f t="shared" si="7"/>
        <v>#REF!</v>
      </c>
      <c r="F39" s="3">
        <f t="shared" si="6"/>
        <v>-5457.2587200000016</v>
      </c>
      <c r="G39" s="3">
        <v>725.8792767857085</v>
      </c>
      <c r="H39" s="3">
        <v>554.97195718427554</v>
      </c>
      <c r="I39" s="3">
        <v>6979.9421059361675</v>
      </c>
      <c r="J39" s="3">
        <v>3495.6744551640004</v>
      </c>
      <c r="K39" s="3" t="e">
        <f>J39+#REF!</f>
        <v>#REF!</v>
      </c>
      <c r="L39" s="3">
        <v>487.91310274826418</v>
      </c>
      <c r="M39" s="52" t="s">
        <v>109</v>
      </c>
      <c r="O39" s="41"/>
      <c r="P39" s="41"/>
      <c r="U39" s="1"/>
      <c r="V39" s="1"/>
      <c r="W39" s="45"/>
      <c r="X39" s="1"/>
    </row>
    <row r="40" spans="1:26" ht="12.75" hidden="1" customHeight="1">
      <c r="C40" s="8" t="s">
        <v>122</v>
      </c>
      <c r="D40" s="3" t="e">
        <f>-#REF!-(-#REF!*0.1%)</f>
        <v>#REF!</v>
      </c>
      <c r="E40" s="3" t="e">
        <f t="shared" si="7"/>
        <v>#REF!</v>
      </c>
      <c r="F40" s="3">
        <f t="shared" si="6"/>
        <v>-28603.59072</v>
      </c>
      <c r="G40" s="3">
        <v>6544.3824228953308</v>
      </c>
      <c r="H40" s="3">
        <v>4042.8944403663609</v>
      </c>
      <c r="I40" s="3">
        <v>43974.571612550149</v>
      </c>
      <c r="J40" s="3">
        <v>18291.851066039999</v>
      </c>
      <c r="K40" s="3" t="e">
        <f>J40+#REF!</f>
        <v>#REF!</v>
      </c>
      <c r="L40" s="3">
        <v>2226.224372015371</v>
      </c>
      <c r="M40" s="52" t="s">
        <v>122</v>
      </c>
      <c r="O40" s="41"/>
      <c r="P40" s="41"/>
      <c r="U40" s="1"/>
      <c r="V40" s="1"/>
      <c r="W40" s="45"/>
      <c r="X40" s="1"/>
    </row>
    <row r="41" spans="1:26" ht="12.75" hidden="1" customHeight="1">
      <c r="C41" s="8" t="s">
        <v>111</v>
      </c>
      <c r="D41" s="3" t="e">
        <f>-#REF!-(-#REF!*0.1%)</f>
        <v>#REF!</v>
      </c>
      <c r="E41" s="3" t="e">
        <f t="shared" si="7"/>
        <v>#REF!</v>
      </c>
      <c r="F41" s="3">
        <f t="shared" si="6"/>
        <v>-45996.86615999999</v>
      </c>
      <c r="G41" s="3">
        <v>6148.9603684813392</v>
      </c>
      <c r="H41" s="3">
        <v>5887.442117008789</v>
      </c>
      <c r="I41" s="3">
        <v>60513.504017068102</v>
      </c>
      <c r="J41" s="3">
        <v>25841.940503516162</v>
      </c>
      <c r="K41" s="3" t="e">
        <f>J41+#REF!</f>
        <v>#REF!</v>
      </c>
      <c r="M41" s="52" t="s">
        <v>111</v>
      </c>
      <c r="O41" s="41"/>
      <c r="P41" s="41"/>
      <c r="U41" s="1"/>
      <c r="V41" s="1"/>
      <c r="W41" s="45"/>
      <c r="X41" s="1"/>
    </row>
    <row r="42" spans="1:26" ht="12.75" hidden="1" customHeight="1">
      <c r="D42" s="3" t="e">
        <f>SUM(D28:D41)</f>
        <v>#REF!</v>
      </c>
      <c r="E42" s="3" t="e">
        <f>D42*0.0312</f>
        <v>#REF!</v>
      </c>
      <c r="F42" s="3">
        <f>SUM(F28:F41)</f>
        <v>-284864.49540000007</v>
      </c>
      <c r="K42" s="42"/>
      <c r="L42" s="42"/>
      <c r="M42" s="42"/>
      <c r="N42" s="1"/>
      <c r="O42" s="41"/>
      <c r="P42" s="41"/>
      <c r="U42" s="1"/>
      <c r="V42" s="1"/>
      <c r="W42" s="1"/>
      <c r="X42" s="1"/>
    </row>
    <row r="43" spans="1:26" ht="12.75" hidden="1" customHeight="1">
      <c r="C43" s="23"/>
      <c r="D43" s="30"/>
      <c r="E43" s="31"/>
      <c r="F43" s="29"/>
      <c r="G43" s="29"/>
      <c r="I43" s="47"/>
      <c r="J43" s="47"/>
      <c r="K43" s="30"/>
      <c r="L43" s="53"/>
      <c r="U43" s="1"/>
      <c r="V43" s="1"/>
      <c r="W43" s="1"/>
      <c r="X43" s="1"/>
    </row>
    <row r="44" spans="1:26" ht="51.75" hidden="1" customHeight="1">
      <c r="C44" s="1"/>
      <c r="D44" s="1"/>
      <c r="E44" s="1"/>
      <c r="F44" s="1"/>
      <c r="G44" s="1"/>
      <c r="H44" s="185"/>
      <c r="I44" s="47"/>
      <c r="J44" s="47"/>
      <c r="K44" s="1"/>
      <c r="L44" s="53"/>
    </row>
    <row r="45" spans="1:26" ht="24.75" hidden="1" customHeight="1">
      <c r="C45" s="310" t="s">
        <v>123</v>
      </c>
      <c r="D45" s="310"/>
      <c r="E45" s="310"/>
      <c r="F45" s="19"/>
      <c r="H45" s="185"/>
      <c r="I45" s="47"/>
      <c r="J45" s="47"/>
      <c r="N45" s="19"/>
    </row>
    <row r="46" spans="1:26" ht="23.25">
      <c r="A46" s="330" t="s">
        <v>4</v>
      </c>
      <c r="B46" s="331"/>
      <c r="C46" s="102" t="s">
        <v>5</v>
      </c>
      <c r="D46" s="102" t="s">
        <v>6</v>
      </c>
      <c r="E46" s="102" t="s">
        <v>7</v>
      </c>
      <c r="F46" s="102" t="s">
        <v>8</v>
      </c>
      <c r="G46" s="102" t="s">
        <v>9</v>
      </c>
      <c r="H46" s="102" t="s">
        <v>10</v>
      </c>
      <c r="I46" s="102" t="s">
        <v>11</v>
      </c>
      <c r="J46" s="102" t="s">
        <v>12</v>
      </c>
      <c r="K46" s="102" t="s">
        <v>13</v>
      </c>
      <c r="L46" s="102" t="s">
        <v>14</v>
      </c>
      <c r="M46" s="102" t="s">
        <v>15</v>
      </c>
      <c r="N46" s="102" t="s">
        <v>16</v>
      </c>
      <c r="O46" s="102" t="s">
        <v>17</v>
      </c>
      <c r="P46" s="102" t="s">
        <v>18</v>
      </c>
    </row>
    <row r="47" spans="1:26" s="164" customFormat="1" ht="15.75" customHeight="1">
      <c r="A47" s="332" t="s">
        <v>124</v>
      </c>
      <c r="B47" s="232" t="s">
        <v>125</v>
      </c>
      <c r="C47" s="162">
        <f>-'CÀLCUL QUOTES'!D24</f>
        <v>3476.58</v>
      </c>
      <c r="D47" s="162">
        <f>-'CÀLCUL QUOTES'!E24</f>
        <v>18564.45</v>
      </c>
      <c r="E47" s="162">
        <f>-'CÀLCUL QUOTES'!F24</f>
        <v>5764.14</v>
      </c>
      <c r="F47" s="162">
        <f>-'CÀLCUL QUOTES'!G24</f>
        <v>2974.62</v>
      </c>
      <c r="G47" s="162">
        <f>-'CÀLCUL QUOTES'!H24</f>
        <v>3868.19</v>
      </c>
      <c r="H47" s="162">
        <f>-'CÀLCUL QUOTES'!I24</f>
        <v>4155.95</v>
      </c>
      <c r="I47" s="162">
        <f>-'CÀLCUL QUOTES'!J24</f>
        <v>13605.47</v>
      </c>
      <c r="J47" s="162">
        <f>-'CÀLCUL QUOTES'!K24</f>
        <v>2541.9</v>
      </c>
      <c r="K47" s="162">
        <f>-'CÀLCUL QUOTES'!L24</f>
        <v>16101.83</v>
      </c>
      <c r="L47" s="162">
        <f>-'CÀLCUL QUOTES'!M24</f>
        <v>0</v>
      </c>
      <c r="M47" s="162">
        <f>-'CÀLCUL QUOTES'!N24</f>
        <v>2903.23</v>
      </c>
      <c r="N47" s="162">
        <f>-'CÀLCUL QUOTES'!O24</f>
        <v>15362.32</v>
      </c>
      <c r="O47" s="162">
        <f>-'CÀLCUL QUOTES'!P24</f>
        <v>13599.1</v>
      </c>
      <c r="P47" s="162">
        <f>-'CÀLCUL QUOTES'!Q24</f>
        <v>102917.78</v>
      </c>
      <c r="Q47"/>
      <c r="R47"/>
      <c r="S47"/>
      <c r="T47"/>
      <c r="U47"/>
      <c r="V47"/>
      <c r="W47"/>
      <c r="X47"/>
      <c r="Y47"/>
      <c r="Z47"/>
    </row>
    <row r="48" spans="1:26" s="164" customFormat="1" ht="15.75" customHeight="1">
      <c r="A48" s="332"/>
      <c r="B48" s="232" t="s">
        <v>37</v>
      </c>
      <c r="C48" s="162">
        <f>-'CÀLCUL QUOTES'!D25</f>
        <v>0</v>
      </c>
      <c r="D48" s="162">
        <f>-'CÀLCUL QUOTES'!E25</f>
        <v>35310.83</v>
      </c>
      <c r="E48" s="162">
        <f>-'CÀLCUL QUOTES'!F25</f>
        <v>0</v>
      </c>
      <c r="F48" s="162">
        <f>-'CÀLCUL QUOTES'!G25</f>
        <v>0</v>
      </c>
      <c r="G48" s="162">
        <f>-'CÀLCUL QUOTES'!H25</f>
        <v>12944.487323506601</v>
      </c>
      <c r="H48" s="162">
        <f>-'CÀLCUL QUOTES'!I25</f>
        <v>2000</v>
      </c>
      <c r="I48" s="162">
        <f>-'CÀLCUL QUOTES'!J25</f>
        <v>0</v>
      </c>
      <c r="J48" s="162">
        <f>-'CÀLCUL QUOTES'!K25</f>
        <v>0</v>
      </c>
      <c r="K48" s="162">
        <f>-'CÀLCUL QUOTES'!L25</f>
        <v>11364.000000000002</v>
      </c>
      <c r="L48" s="162">
        <f>-'CÀLCUL QUOTES'!M25</f>
        <v>12050.087222653199</v>
      </c>
      <c r="M48" s="162">
        <f>-'CÀLCUL QUOTES'!N25</f>
        <v>0</v>
      </c>
      <c r="N48" s="162">
        <f>-'CÀLCUL QUOTES'!O25</f>
        <v>17046.000000000004</v>
      </c>
      <c r="O48" s="162">
        <f>-'CÀLCUL QUOTES'!P25</f>
        <v>6818.4000000000005</v>
      </c>
      <c r="P48" s="162">
        <f>-'CÀLCUL QUOTES'!Q25</f>
        <v>97533.804546159794</v>
      </c>
      <c r="Q48"/>
      <c r="R48"/>
      <c r="S48"/>
      <c r="T48"/>
      <c r="U48"/>
      <c r="V48"/>
      <c r="W48"/>
      <c r="X48"/>
      <c r="Y48"/>
      <c r="Z48"/>
    </row>
    <row r="49" spans="1:74" s="164" customFormat="1" ht="15.75" customHeight="1">
      <c r="A49" s="332"/>
      <c r="B49" s="232" t="s">
        <v>38</v>
      </c>
      <c r="C49" s="162">
        <f>-'CÀLCUL QUOTES'!D26</f>
        <v>0</v>
      </c>
      <c r="D49" s="162">
        <f>-'CÀLCUL QUOTES'!E26</f>
        <v>1941.49</v>
      </c>
      <c r="E49" s="162">
        <f>-'CÀLCUL QUOTES'!F26</f>
        <v>0</v>
      </c>
      <c r="F49" s="162">
        <f>-'CÀLCUL QUOTES'!G26</f>
        <v>0</v>
      </c>
      <c r="G49" s="162">
        <f>-'CÀLCUL QUOTES'!H26</f>
        <v>2561.1420007653978</v>
      </c>
      <c r="H49" s="162">
        <f>-'CÀLCUL QUOTES'!I26</f>
        <v>822.77377399945567</v>
      </c>
      <c r="I49" s="162">
        <f>-'CÀLCUL QUOTES'!J26</f>
        <v>0</v>
      </c>
      <c r="J49" s="162">
        <f>-'CÀLCUL QUOTES'!K26</f>
        <v>0</v>
      </c>
      <c r="K49" s="162">
        <f>-'CÀLCUL QUOTES'!L26</f>
        <v>1693.8333801392337</v>
      </c>
      <c r="L49" s="162">
        <f>-'CÀLCUL QUOTES'!M26</f>
        <v>904.59600000000012</v>
      </c>
      <c r="M49" s="162">
        <f>-'CÀLCUL QUOTES'!N26</f>
        <v>0</v>
      </c>
      <c r="N49" s="162">
        <f>-'CÀLCUL QUOTES'!O26</f>
        <v>3212.0413754031524</v>
      </c>
      <c r="O49" s="162">
        <f>-'CÀLCUL QUOTES'!P26</f>
        <v>1575.4890757447611</v>
      </c>
      <c r="P49" s="162">
        <f>-'CÀLCUL QUOTES'!Q26</f>
        <v>12711.365606052001</v>
      </c>
      <c r="Q49"/>
      <c r="R49"/>
      <c r="S49"/>
      <c r="T49"/>
      <c r="U49"/>
      <c r="V49"/>
      <c r="W49"/>
      <c r="X49"/>
      <c r="Y49"/>
      <c r="Z49"/>
    </row>
    <row r="50" spans="1:74" s="164" customFormat="1" ht="15.75" customHeight="1">
      <c r="A50" s="332"/>
      <c r="B50" s="232" t="s">
        <v>126</v>
      </c>
      <c r="C50" s="162">
        <f>-'CÀLCUL QUOTES'!D27</f>
        <v>536.67899999999997</v>
      </c>
      <c r="D50" s="162">
        <f>-'CÀLCUL QUOTES'!E27</f>
        <v>2406.5030000000002</v>
      </c>
      <c r="E50" s="162">
        <f>-'CÀLCUL QUOTES'!F27</f>
        <v>637.91200000000003</v>
      </c>
      <c r="F50" s="162">
        <f>-'CÀLCUL QUOTES'!G27</f>
        <v>423.70900000000006</v>
      </c>
      <c r="G50" s="162">
        <f>-'CÀLCUL QUOTES'!H27</f>
        <v>765.29200000000014</v>
      </c>
      <c r="H50" s="162">
        <f>-'CÀLCUL QUOTES'!I27</f>
        <v>388.38800000000003</v>
      </c>
      <c r="I50" s="162">
        <f>-'CÀLCUL QUOTES'!J27</f>
        <v>2295.931</v>
      </c>
      <c r="J50" s="162">
        <f>-'CÀLCUL QUOTES'!K27</f>
        <v>390.53300000000002</v>
      </c>
      <c r="K50" s="162">
        <f>-'CÀLCUL QUOTES'!L27</f>
        <v>3768.09</v>
      </c>
      <c r="L50" s="162">
        <f>-'CÀLCUL QUOTES'!M27</f>
        <v>0</v>
      </c>
      <c r="M50" s="162">
        <f>-'CÀLCUL QUOTES'!N27</f>
        <v>309.29800000000006</v>
      </c>
      <c r="N50" s="162">
        <f>-'CÀLCUL QUOTES'!O27</f>
        <v>2204.4</v>
      </c>
      <c r="O50" s="162">
        <f>-'CÀLCUL QUOTES'!P27</f>
        <v>2000</v>
      </c>
      <c r="P50" s="162">
        <f>-'CÀLCUL QUOTES'!Q27</f>
        <v>16126.735000000001</v>
      </c>
      <c r="Q50"/>
      <c r="R50"/>
      <c r="S50"/>
      <c r="T50"/>
      <c r="U50"/>
      <c r="V50"/>
      <c r="W50"/>
      <c r="X50"/>
      <c r="Y50"/>
      <c r="Z50"/>
    </row>
    <row r="51" spans="1:74" s="164" customFormat="1" ht="15.75" customHeight="1">
      <c r="A51" s="332"/>
      <c r="B51" s="232" t="s">
        <v>91</v>
      </c>
      <c r="C51" s="162">
        <f>-'CÀLCUL QUOTES'!D28</f>
        <v>0</v>
      </c>
      <c r="D51" s="162">
        <f>-'CÀLCUL QUOTES'!E28</f>
        <v>44780.29</v>
      </c>
      <c r="E51" s="162">
        <f>-'CÀLCUL QUOTES'!F28</f>
        <v>5607.72</v>
      </c>
      <c r="F51" s="162">
        <f>-'CÀLCUL QUOTES'!G28</f>
        <v>1617.45</v>
      </c>
      <c r="G51" s="162">
        <f>-'CÀLCUL QUOTES'!H28</f>
        <v>1059.48</v>
      </c>
      <c r="H51" s="162">
        <f>-'CÀLCUL QUOTES'!I28</f>
        <v>2831.2</v>
      </c>
      <c r="I51" s="162">
        <f>-'CÀLCUL QUOTES'!J28</f>
        <v>1916.78</v>
      </c>
      <c r="J51" s="162">
        <f>-'CÀLCUL QUOTES'!K28</f>
        <v>1266.26</v>
      </c>
      <c r="K51" s="162">
        <f>-'CÀLCUL QUOTES'!L28</f>
        <v>0</v>
      </c>
      <c r="L51" s="162">
        <f>-'CÀLCUL QUOTES'!M28</f>
        <v>40706.26</v>
      </c>
      <c r="M51" s="162">
        <f>-'CÀLCUL QUOTES'!N28</f>
        <v>1577.57</v>
      </c>
      <c r="N51" s="162">
        <f>-'CÀLCUL QUOTES'!O28</f>
        <v>16077.78</v>
      </c>
      <c r="O51" s="162">
        <f>-'CÀLCUL QUOTES'!P28</f>
        <v>25800.73</v>
      </c>
      <c r="P51" s="162">
        <f>-'CÀLCUL QUOTES'!Q28</f>
        <v>143241.52000000002</v>
      </c>
      <c r="Q51"/>
      <c r="R51"/>
      <c r="S51"/>
      <c r="T51"/>
      <c r="U51"/>
      <c r="V51"/>
      <c r="W51"/>
      <c r="X51"/>
      <c r="Y51"/>
      <c r="Z51"/>
    </row>
    <row r="52" spans="1:74" s="164" customFormat="1" ht="15.75" customHeight="1">
      <c r="A52" s="332"/>
      <c r="B52" s="232" t="s">
        <v>127</v>
      </c>
      <c r="C52" s="162">
        <f>-'CÀLCUL QUOTES'!D29</f>
        <v>0</v>
      </c>
      <c r="D52" s="162">
        <f>-'CÀLCUL QUOTES'!E29</f>
        <v>0</v>
      </c>
      <c r="E52" s="162">
        <f>-'CÀLCUL QUOTES'!F29</f>
        <v>0</v>
      </c>
      <c r="F52" s="162">
        <f>-'CÀLCUL QUOTES'!G29</f>
        <v>3357.36</v>
      </c>
      <c r="G52" s="162">
        <f>-'CÀLCUL QUOTES'!H29</f>
        <v>3357.36</v>
      </c>
      <c r="H52" s="162">
        <f>-'CÀLCUL QUOTES'!I29</f>
        <v>1119.1199999999999</v>
      </c>
      <c r="I52" s="162">
        <f>-'CÀLCUL QUOTES'!J29</f>
        <v>4246.32</v>
      </c>
      <c r="J52" s="162">
        <f>-'CÀLCUL QUOTES'!K29</f>
        <v>0</v>
      </c>
      <c r="K52" s="162">
        <f>-'CÀLCUL QUOTES'!L29</f>
        <v>0</v>
      </c>
      <c r="L52" s="162">
        <f>-'CÀLCUL QUOTES'!M29</f>
        <v>0</v>
      </c>
      <c r="M52" s="162">
        <f>-'CÀLCUL QUOTES'!N29</f>
        <v>0</v>
      </c>
      <c r="N52" s="162">
        <f>-'CÀLCUL QUOTES'!O29</f>
        <v>0</v>
      </c>
      <c r="O52" s="162">
        <f>-'CÀLCUL QUOTES'!P29</f>
        <v>0</v>
      </c>
      <c r="P52" s="162">
        <f>-'CÀLCUL QUOTES'!Q29</f>
        <v>12080.16</v>
      </c>
      <c r="Q52"/>
      <c r="R52"/>
      <c r="S52"/>
      <c r="T52"/>
      <c r="U52"/>
      <c r="V52"/>
      <c r="W52"/>
      <c r="X52"/>
      <c r="Y52"/>
      <c r="Z52"/>
    </row>
    <row r="53" spans="1:74" s="164" customFormat="1" ht="15.75" customHeight="1">
      <c r="A53" s="332"/>
      <c r="B53" s="232" t="s">
        <v>128</v>
      </c>
      <c r="C53" s="162">
        <f>-'CÀLCUL QUOTES'!D30</f>
        <v>618.49</v>
      </c>
      <c r="D53" s="162">
        <f>-'CÀLCUL QUOTES'!E30</f>
        <v>3710.94</v>
      </c>
      <c r="E53" s="162">
        <f>-'CÀLCUL QUOTES'!F30</f>
        <v>618.49</v>
      </c>
      <c r="F53" s="162">
        <f>-'CÀLCUL QUOTES'!G30</f>
        <v>0</v>
      </c>
      <c r="G53" s="162">
        <f>-'CÀLCUL QUOTES'!H30</f>
        <v>0</v>
      </c>
      <c r="H53" s="162">
        <f>-'CÀLCUL QUOTES'!I30</f>
        <v>618.49</v>
      </c>
      <c r="I53" s="162">
        <f>-'CÀLCUL QUOTES'!J30</f>
        <v>1236.98</v>
      </c>
      <c r="J53" s="162">
        <f>-'CÀLCUL QUOTES'!K30</f>
        <v>618.49</v>
      </c>
      <c r="K53" s="162">
        <f>-'CÀLCUL QUOTES'!L30</f>
        <v>0</v>
      </c>
      <c r="L53" s="162">
        <f>-'CÀLCUL QUOTES'!M30</f>
        <v>0</v>
      </c>
      <c r="M53" s="162">
        <f>-'CÀLCUL QUOTES'!N30</f>
        <v>0</v>
      </c>
      <c r="N53" s="162">
        <f>-'CÀLCUL QUOTES'!O30</f>
        <v>1236.98</v>
      </c>
      <c r="O53" s="162">
        <f>-'CÀLCUL QUOTES'!P30</f>
        <v>0</v>
      </c>
      <c r="P53" s="162">
        <f>-'CÀLCUL QUOTES'!Q30</f>
        <v>8658.8599999999988</v>
      </c>
      <c r="Q53"/>
      <c r="R53"/>
      <c r="S53"/>
      <c r="T53"/>
    </row>
    <row r="54" spans="1:74" s="171" customFormat="1" ht="15.75" customHeight="1">
      <c r="A54" s="332"/>
      <c r="B54" s="232" t="s">
        <v>129</v>
      </c>
      <c r="C54" s="162">
        <f>-'CÀLCUL QUOTES'!D31</f>
        <v>480</v>
      </c>
      <c r="D54" s="162">
        <f>-'CÀLCUL QUOTES'!E31</f>
        <v>8789.0400000000009</v>
      </c>
      <c r="E54" s="162">
        <f>-'CÀLCUL QUOTES'!F31</f>
        <v>300</v>
      </c>
      <c r="F54" s="162">
        <f>-'CÀLCUL QUOTES'!G31</f>
        <v>0</v>
      </c>
      <c r="G54" s="162">
        <f>-'CÀLCUL QUOTES'!H31</f>
        <v>0</v>
      </c>
      <c r="H54" s="162">
        <f>-'CÀLCUL QUOTES'!I31</f>
        <v>521.57999999999993</v>
      </c>
      <c r="I54" s="162">
        <f>-'CÀLCUL QUOTES'!J31</f>
        <v>7000</v>
      </c>
      <c r="J54" s="162">
        <f>-'CÀLCUL QUOTES'!K31</f>
        <v>183.06</v>
      </c>
      <c r="K54" s="162">
        <f>-'CÀLCUL QUOTES'!L31</f>
        <v>1640.76</v>
      </c>
      <c r="L54" s="162">
        <f>-'CÀLCUL QUOTES'!M31</f>
        <v>2083.92</v>
      </c>
      <c r="M54" s="162">
        <f>-'CÀLCUL QUOTES'!N31</f>
        <v>0</v>
      </c>
      <c r="N54" s="162">
        <f>-'CÀLCUL QUOTES'!O31</f>
        <v>6731.4</v>
      </c>
      <c r="O54" s="162">
        <f>-'CÀLCUL QUOTES'!P31</f>
        <v>5989.58</v>
      </c>
      <c r="P54" s="162">
        <f>-'CÀLCUL QUOTES'!Q31</f>
        <v>33719.340000000004</v>
      </c>
      <c r="Q54"/>
      <c r="R54"/>
      <c r="S54"/>
      <c r="T54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  <c r="BH54" s="165"/>
      <c r="BI54" s="165"/>
      <c r="BJ54" s="165"/>
      <c r="BK54" s="165"/>
      <c r="BL54" s="165"/>
      <c r="BM54" s="165"/>
      <c r="BN54" s="165"/>
      <c r="BO54" s="165"/>
      <c r="BP54" s="165"/>
      <c r="BQ54" s="165"/>
      <c r="BR54" s="165"/>
      <c r="BS54" s="165"/>
      <c r="BT54" s="165"/>
      <c r="BU54" s="165"/>
      <c r="BV54" s="165"/>
    </row>
    <row r="55" spans="1:74" s="231" customFormat="1" ht="15.75" customHeight="1">
      <c r="A55" s="333"/>
      <c r="B55" s="172" t="s">
        <v>130</v>
      </c>
      <c r="C55" s="228">
        <f t="shared" ref="C55:P55" si="8">SUM(C47:C54)</f>
        <v>5111.7489999999998</v>
      </c>
      <c r="D55" s="228">
        <f t="shared" si="8"/>
        <v>115503.54300000001</v>
      </c>
      <c r="E55" s="228">
        <f t="shared" si="8"/>
        <v>12928.262000000001</v>
      </c>
      <c r="F55" s="228">
        <f t="shared" si="8"/>
        <v>8373.1389999999992</v>
      </c>
      <c r="G55" s="228">
        <f t="shared" si="8"/>
        <v>24555.951324271999</v>
      </c>
      <c r="H55" s="228">
        <f t="shared" si="8"/>
        <v>12457.501773999455</v>
      </c>
      <c r="I55" s="228">
        <f t="shared" si="8"/>
        <v>30301.481</v>
      </c>
      <c r="J55" s="228">
        <f t="shared" si="8"/>
        <v>5000.2430000000004</v>
      </c>
      <c r="K55" s="228">
        <f t="shared" si="8"/>
        <v>34568.513380139237</v>
      </c>
      <c r="L55" s="228">
        <f t="shared" si="8"/>
        <v>55744.863222653199</v>
      </c>
      <c r="M55" s="228">
        <f t="shared" si="8"/>
        <v>4790.098</v>
      </c>
      <c r="N55" s="228">
        <f t="shared" si="8"/>
        <v>61870.921375403159</v>
      </c>
      <c r="O55" s="228">
        <f t="shared" si="8"/>
        <v>55783.299075744762</v>
      </c>
      <c r="P55" s="228">
        <f t="shared" si="8"/>
        <v>426989.56515221176</v>
      </c>
      <c r="Q55" s="229"/>
      <c r="R55" s="229"/>
      <c r="S55" s="229"/>
      <c r="T55" s="229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  <c r="AV55" s="230"/>
      <c r="AW55" s="230"/>
      <c r="AX55" s="230"/>
      <c r="AY55" s="230"/>
      <c r="AZ55" s="230"/>
      <c r="BA55" s="230"/>
      <c r="BB55" s="230"/>
      <c r="BC55" s="230"/>
      <c r="BD55" s="230"/>
      <c r="BE55" s="230"/>
      <c r="BF55" s="230"/>
      <c r="BG55" s="230"/>
      <c r="BH55" s="230"/>
      <c r="BI55" s="230"/>
      <c r="BJ55" s="230"/>
      <c r="BK55" s="230"/>
      <c r="BL55" s="230"/>
      <c r="BM55" s="230"/>
      <c r="BN55" s="230"/>
      <c r="BO55" s="230"/>
      <c r="BP55" s="230"/>
      <c r="BQ55" s="230"/>
      <c r="BR55" s="230"/>
      <c r="BS55" s="230"/>
      <c r="BT55" s="230"/>
      <c r="BU55" s="230"/>
      <c r="BV55" s="230"/>
    </row>
    <row r="56" spans="1:74" ht="12.75" customHeight="1">
      <c r="A56" s="159"/>
      <c r="B56" s="63"/>
      <c r="C56" s="67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</row>
  </sheetData>
  <sheetProtection sheet="1" objects="1" scenarios="1" selectLockedCells="1" selectUnlockedCells="1"/>
  <mergeCells count="6">
    <mergeCell ref="A47:A55"/>
    <mergeCell ref="D1:G1"/>
    <mergeCell ref="I2:K2"/>
    <mergeCell ref="G26:I26"/>
    <mergeCell ref="C45:E45"/>
    <mergeCell ref="A46:B46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2:Q8"/>
  <sheetViews>
    <sheetView workbookViewId="0">
      <selection activeCell="B19" sqref="B19"/>
    </sheetView>
  </sheetViews>
  <sheetFormatPr defaultColWidth="11.42578125" defaultRowHeight="12.75"/>
  <cols>
    <col min="1" max="1" width="17.7109375" customWidth="1"/>
    <col min="2" max="2" width="35.140625" customWidth="1"/>
    <col min="3" max="3" width="16.42578125" hidden="1" customWidth="1"/>
    <col min="4" max="4" width="15.28515625" hidden="1" customWidth="1"/>
    <col min="5" max="5" width="13.85546875" hidden="1" customWidth="1"/>
    <col min="6" max="6" width="15" hidden="1" customWidth="1"/>
    <col min="7" max="7" width="15.140625" hidden="1" customWidth="1"/>
    <col min="8" max="8" width="14.85546875" hidden="1" customWidth="1"/>
    <col min="9" max="10" width="14.5703125" hidden="1" customWidth="1"/>
    <col min="11" max="11" width="15" hidden="1" customWidth="1"/>
    <col min="12" max="12" width="13" hidden="1" customWidth="1"/>
    <col min="13" max="13" width="13.42578125" hidden="1" customWidth="1"/>
    <col min="14" max="14" width="14.5703125" hidden="1" customWidth="1"/>
    <col min="15" max="15" width="13.5703125" hidden="1" customWidth="1"/>
    <col min="16" max="16" width="15.28515625" hidden="1" customWidth="1"/>
    <col min="17" max="17" width="13.7109375" customWidth="1"/>
  </cols>
  <sheetData>
    <row r="2" spans="1:17" ht="20.25">
      <c r="A2" s="339" t="s">
        <v>131</v>
      </c>
      <c r="B2" s="340"/>
      <c r="C2" s="102" t="s">
        <v>5</v>
      </c>
      <c r="D2" s="102" t="s">
        <v>6</v>
      </c>
      <c r="E2" s="102" t="s">
        <v>7</v>
      </c>
      <c r="F2" s="102" t="s">
        <v>8</v>
      </c>
      <c r="G2" s="102" t="s">
        <v>9</v>
      </c>
      <c r="H2" s="102" t="s">
        <v>10</v>
      </c>
      <c r="I2" s="102" t="s">
        <v>11</v>
      </c>
      <c r="J2" s="102" t="s">
        <v>12</v>
      </c>
      <c r="K2" s="102" t="s">
        <v>132</v>
      </c>
      <c r="L2" s="102" t="s">
        <v>13</v>
      </c>
      <c r="M2" s="102" t="s">
        <v>14</v>
      </c>
      <c r="N2" s="102" t="s">
        <v>15</v>
      </c>
      <c r="O2" s="102" t="s">
        <v>16</v>
      </c>
      <c r="P2" s="102" t="s">
        <v>17</v>
      </c>
      <c r="Q2" s="236" t="s">
        <v>18</v>
      </c>
    </row>
    <row r="3" spans="1:17" ht="25.5" customHeight="1">
      <c r="A3" s="341" t="s">
        <v>133</v>
      </c>
      <c r="B3" s="234" t="s">
        <v>134</v>
      </c>
      <c r="C3" s="162" t="e">
        <f>#REF!</f>
        <v>#REF!</v>
      </c>
      <c r="D3" s="163" t="e">
        <f>#REF!</f>
        <v>#REF!</v>
      </c>
      <c r="E3" s="163" t="e">
        <f>#REF!</f>
        <v>#REF!</v>
      </c>
      <c r="F3" s="163" t="e">
        <f>#REF!</f>
        <v>#REF!</v>
      </c>
      <c r="G3" s="163" t="e">
        <f>#REF!</f>
        <v>#REF!</v>
      </c>
      <c r="H3" s="163" t="e">
        <f>#REF!</f>
        <v>#REF!</v>
      </c>
      <c r="I3" s="163" t="e">
        <f>#REF!</f>
        <v>#REF!</v>
      </c>
      <c r="J3" s="163" t="e">
        <f>#REF!</f>
        <v>#REF!</v>
      </c>
      <c r="K3" s="163" t="e">
        <f>#REF!</f>
        <v>#REF!</v>
      </c>
      <c r="L3" s="163" t="e">
        <f>#REF!</f>
        <v>#REF!</v>
      </c>
      <c r="M3" s="163" t="e">
        <f>#REF!</f>
        <v>#REF!</v>
      </c>
      <c r="N3" s="163" t="e">
        <f>#REF!</f>
        <v>#REF!</v>
      </c>
      <c r="O3" s="163" t="e">
        <f>#REF!</f>
        <v>#REF!</v>
      </c>
      <c r="P3" s="163" t="e">
        <f>#REF!</f>
        <v>#REF!</v>
      </c>
      <c r="Q3" s="198">
        <f>-'DESPESES GLOBALS'!C9</f>
        <v>-3480022.4518259424</v>
      </c>
    </row>
    <row r="4" spans="1:17">
      <c r="A4" s="342"/>
      <c r="B4" s="215" t="s">
        <v>135</v>
      </c>
      <c r="C4" s="180" t="e">
        <f>'INGRESSOS GLOBALS'!#REF!</f>
        <v>#REF!</v>
      </c>
      <c r="D4" s="181" t="e">
        <f>'INGRESSOS GLOBALS'!#REF!</f>
        <v>#REF!</v>
      </c>
      <c r="E4" s="181" t="e">
        <f>'INGRESSOS GLOBALS'!#REF!</f>
        <v>#REF!</v>
      </c>
      <c r="F4" s="181" t="e">
        <f>'INGRESSOS GLOBALS'!#REF!</f>
        <v>#REF!</v>
      </c>
      <c r="G4" s="181" t="e">
        <f>'INGRESSOS GLOBALS'!#REF!</f>
        <v>#REF!</v>
      </c>
      <c r="H4" s="181" t="e">
        <f>'INGRESSOS GLOBALS'!#REF!</f>
        <v>#REF!</v>
      </c>
      <c r="I4" s="181" t="e">
        <f>'INGRESSOS GLOBALS'!#REF!</f>
        <v>#REF!</v>
      </c>
      <c r="J4" s="181" t="e">
        <f>'INGRESSOS GLOBALS'!#REF!</f>
        <v>#REF!</v>
      </c>
      <c r="K4" s="181" t="e">
        <f>'INGRESSOS GLOBALS'!#REF!</f>
        <v>#REF!</v>
      </c>
      <c r="L4" s="181" t="e">
        <f>'INGRESSOS GLOBALS'!#REF!</f>
        <v>#REF!</v>
      </c>
      <c r="M4" s="181" t="e">
        <f>'INGRESSOS GLOBALS'!#REF!</f>
        <v>#REF!</v>
      </c>
      <c r="N4" s="181" t="e">
        <f>'INGRESSOS GLOBALS'!#REF!</f>
        <v>#REF!</v>
      </c>
      <c r="O4" s="181" t="e">
        <f>'INGRESSOS GLOBALS'!#REF!</f>
        <v>#REF!</v>
      </c>
      <c r="P4" s="181" t="e">
        <f>'INGRESSOS GLOBALS'!#REF!</f>
        <v>#REF!</v>
      </c>
      <c r="Q4" s="200">
        <f>'INGRESSOS GLOBALS'!C8</f>
        <v>797838.12</v>
      </c>
    </row>
    <row r="5" spans="1:17">
      <c r="A5" s="343"/>
      <c r="B5" s="235" t="s">
        <v>136</v>
      </c>
      <c r="C5" s="168" t="e">
        <f>SUM(C3:C4)</f>
        <v>#REF!</v>
      </c>
      <c r="D5" s="168" t="e">
        <f t="shared" ref="D5:P5" si="0">SUM(D3:D4)</f>
        <v>#REF!</v>
      </c>
      <c r="E5" s="168" t="e">
        <f t="shared" si="0"/>
        <v>#REF!</v>
      </c>
      <c r="F5" s="168" t="e">
        <f t="shared" si="0"/>
        <v>#REF!</v>
      </c>
      <c r="G5" s="168" t="e">
        <f t="shared" si="0"/>
        <v>#REF!</v>
      </c>
      <c r="H5" s="168" t="e">
        <f t="shared" si="0"/>
        <v>#REF!</v>
      </c>
      <c r="I5" s="168" t="e">
        <f t="shared" si="0"/>
        <v>#REF!</v>
      </c>
      <c r="J5" s="168" t="e">
        <f t="shared" si="0"/>
        <v>#REF!</v>
      </c>
      <c r="K5" s="168" t="e">
        <f t="shared" si="0"/>
        <v>#REF!</v>
      </c>
      <c r="L5" s="168" t="e">
        <f t="shared" si="0"/>
        <v>#REF!</v>
      </c>
      <c r="M5" s="168" t="e">
        <f t="shared" si="0"/>
        <v>#REF!</v>
      </c>
      <c r="N5" s="168" t="e">
        <f t="shared" si="0"/>
        <v>#REF!</v>
      </c>
      <c r="O5" s="168" t="e">
        <f t="shared" si="0"/>
        <v>#REF!</v>
      </c>
      <c r="P5" s="168" t="e">
        <f t="shared" si="0"/>
        <v>#REF!</v>
      </c>
      <c r="Q5" s="204">
        <f>Q3+Q4</f>
        <v>-2682184.3318259423</v>
      </c>
    </row>
    <row r="6" spans="1:17" ht="25.5" customHeight="1">
      <c r="A6" s="344" t="s">
        <v>137</v>
      </c>
      <c r="B6" s="232" t="s">
        <v>138</v>
      </c>
      <c r="C6" s="162" t="e">
        <f>#REF!</f>
        <v>#REF!</v>
      </c>
      <c r="D6" s="163" t="e">
        <f>#REF!</f>
        <v>#REF!</v>
      </c>
      <c r="E6" s="163" t="e">
        <f>#REF!</f>
        <v>#REF!</v>
      </c>
      <c r="F6" s="183" t="e">
        <f>#REF!</f>
        <v>#REF!</v>
      </c>
      <c r="G6" s="163" t="e">
        <f>#REF!</f>
        <v>#REF!</v>
      </c>
      <c r="H6" s="163" t="e">
        <f>#REF!</f>
        <v>#REF!</v>
      </c>
      <c r="I6" s="163" t="e">
        <f>#REF!</f>
        <v>#REF!</v>
      </c>
      <c r="J6" s="163" t="e">
        <f>#REF!</f>
        <v>#REF!</v>
      </c>
      <c r="K6" s="163" t="e">
        <f>#REF!</f>
        <v>#REF!</v>
      </c>
      <c r="L6" s="163" t="e">
        <f>#REF!</f>
        <v>#REF!</v>
      </c>
      <c r="M6" s="163" t="e">
        <f>#REF!</f>
        <v>#REF!</v>
      </c>
      <c r="N6" s="163" t="e">
        <f>#REF!</f>
        <v>#REF!</v>
      </c>
      <c r="O6" s="163" t="e">
        <f>#REF!</f>
        <v>#REF!</v>
      </c>
      <c r="P6" s="163" t="e">
        <f>#REF!</f>
        <v>#REF!</v>
      </c>
      <c r="Q6" s="199">
        <f>-'DESPESES ESPECÍFIQUES'!P55</f>
        <v>-426989.56515221176</v>
      </c>
    </row>
    <row r="7" spans="1:17">
      <c r="A7" s="345"/>
      <c r="B7" s="233" t="s">
        <v>139</v>
      </c>
      <c r="C7" s="173" t="e">
        <f t="shared" ref="C7:P7" si="1">SUM(C6:C6)</f>
        <v>#REF!</v>
      </c>
      <c r="D7" s="173" t="e">
        <f t="shared" si="1"/>
        <v>#REF!</v>
      </c>
      <c r="E7" s="173" t="e">
        <f t="shared" si="1"/>
        <v>#REF!</v>
      </c>
      <c r="F7" s="173" t="e">
        <f t="shared" si="1"/>
        <v>#REF!</v>
      </c>
      <c r="G7" s="173" t="e">
        <f t="shared" si="1"/>
        <v>#REF!</v>
      </c>
      <c r="H7" s="173" t="e">
        <f t="shared" si="1"/>
        <v>#REF!</v>
      </c>
      <c r="I7" s="173" t="e">
        <f t="shared" si="1"/>
        <v>#REF!</v>
      </c>
      <c r="J7" s="173" t="e">
        <f t="shared" si="1"/>
        <v>#REF!</v>
      </c>
      <c r="K7" s="173" t="e">
        <f t="shared" si="1"/>
        <v>#REF!</v>
      </c>
      <c r="L7" s="173" t="e">
        <f t="shared" si="1"/>
        <v>#REF!</v>
      </c>
      <c r="M7" s="173" t="e">
        <f t="shared" si="1"/>
        <v>#REF!</v>
      </c>
      <c r="N7" s="173" t="e">
        <f t="shared" si="1"/>
        <v>#REF!</v>
      </c>
      <c r="O7" s="173" t="e">
        <f t="shared" si="1"/>
        <v>#REF!</v>
      </c>
      <c r="P7" s="173" t="e">
        <f t="shared" si="1"/>
        <v>#REF!</v>
      </c>
      <c r="Q7" s="205">
        <f>Q6</f>
        <v>-426989.56515221176</v>
      </c>
    </row>
    <row r="8" spans="1:17">
      <c r="A8" s="237"/>
      <c r="B8" s="239" t="s">
        <v>140</v>
      </c>
      <c r="C8" s="176" t="e">
        <f t="shared" ref="C8:P8" si="2">C5+C7</f>
        <v>#REF!</v>
      </c>
      <c r="D8" s="176" t="e">
        <f t="shared" si="2"/>
        <v>#REF!</v>
      </c>
      <c r="E8" s="176" t="e">
        <f t="shared" si="2"/>
        <v>#REF!</v>
      </c>
      <c r="F8" s="176" t="e">
        <f t="shared" si="2"/>
        <v>#REF!</v>
      </c>
      <c r="G8" s="176" t="e">
        <f t="shared" si="2"/>
        <v>#REF!</v>
      </c>
      <c r="H8" s="176" t="e">
        <f t="shared" si="2"/>
        <v>#REF!</v>
      </c>
      <c r="I8" s="176" t="e">
        <f t="shared" si="2"/>
        <v>#REF!</v>
      </c>
      <c r="J8" s="176" t="e">
        <f t="shared" si="2"/>
        <v>#REF!</v>
      </c>
      <c r="K8" s="176" t="e">
        <f t="shared" si="2"/>
        <v>#REF!</v>
      </c>
      <c r="L8" s="176" t="e">
        <f t="shared" si="2"/>
        <v>#REF!</v>
      </c>
      <c r="M8" s="176" t="e">
        <f t="shared" si="2"/>
        <v>#REF!</v>
      </c>
      <c r="N8" s="176" t="e">
        <f t="shared" si="2"/>
        <v>#REF!</v>
      </c>
      <c r="O8" s="176" t="e">
        <f t="shared" si="2"/>
        <v>#REF!</v>
      </c>
      <c r="P8" s="203" t="e">
        <f t="shared" si="2"/>
        <v>#REF!</v>
      </c>
      <c r="Q8" s="206">
        <f>Q5+Q7</f>
        <v>-3109173.8969781538</v>
      </c>
    </row>
  </sheetData>
  <sheetProtection sheet="1" objects="1" scenarios="1" selectLockedCells="1" selectUnlockedCells="1"/>
  <mergeCells count="3">
    <mergeCell ref="A2:B2"/>
    <mergeCell ref="A3:A5"/>
    <mergeCell ref="A6:A7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499984740745262"/>
    <pageSetUpPr fitToPage="1"/>
  </sheetPr>
  <dimension ref="A1:R62"/>
  <sheetViews>
    <sheetView topLeftCell="A49" workbookViewId="0">
      <selection activeCell="E46" sqref="E46"/>
    </sheetView>
  </sheetViews>
  <sheetFormatPr defaultColWidth="11.42578125" defaultRowHeight="12.75"/>
  <cols>
    <col min="1" max="1" width="42.5703125" bestFit="1" customWidth="1"/>
    <col min="2" max="2" width="7.140625" customWidth="1"/>
    <col min="3" max="3" width="20.7109375" customWidth="1"/>
    <col min="4" max="4" width="15.28515625" customWidth="1"/>
    <col min="5" max="5" width="13.85546875" customWidth="1"/>
    <col min="6" max="6" width="15" customWidth="1"/>
    <col min="7" max="7" width="15.140625" customWidth="1"/>
    <col min="8" max="8" width="14.85546875" customWidth="1"/>
    <col min="9" max="9" width="14.5703125" bestFit="1" customWidth="1"/>
    <col min="10" max="10" width="14.5703125" customWidth="1"/>
    <col min="11" max="11" width="15" customWidth="1"/>
    <col min="12" max="12" width="13" customWidth="1"/>
    <col min="13" max="13" width="13.42578125" customWidth="1"/>
    <col min="14" max="14" width="14.5703125" customWidth="1"/>
    <col min="15" max="15" width="13.5703125" customWidth="1"/>
    <col min="16" max="16" width="15.28515625" customWidth="1"/>
    <col min="17" max="17" width="17" customWidth="1"/>
    <col min="18" max="18" width="15.140625" customWidth="1"/>
    <col min="19" max="19" width="21.5703125" customWidth="1"/>
    <col min="20" max="20" width="14.7109375" customWidth="1"/>
    <col min="21" max="21" width="13.85546875" customWidth="1"/>
    <col min="22" max="22" width="13.140625" customWidth="1"/>
    <col min="23" max="23" width="13.28515625" customWidth="1"/>
    <col min="24" max="24" width="13" bestFit="1" customWidth="1"/>
  </cols>
  <sheetData>
    <row r="1" spans="1:18" ht="12.75" customHeight="1" thickBot="1">
      <c r="A1" s="159"/>
      <c r="B1" s="63"/>
      <c r="C1" s="67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11"/>
    </row>
    <row r="2" spans="1:18" ht="12.75" customHeight="1" thickBot="1">
      <c r="A2" s="319" t="s">
        <v>141</v>
      </c>
      <c r="B2" s="320"/>
      <c r="C2" s="320"/>
      <c r="D2" s="85" t="s">
        <v>59</v>
      </c>
      <c r="E2" s="85" t="s">
        <v>60</v>
      </c>
      <c r="G2" s="83"/>
      <c r="H2" s="64"/>
      <c r="I2" s="64"/>
      <c r="J2" s="64"/>
      <c r="K2" s="64"/>
      <c r="L2" s="64"/>
      <c r="M2" s="64"/>
      <c r="N2" s="64"/>
      <c r="O2" s="64"/>
      <c r="P2" s="64"/>
      <c r="Q2" s="64"/>
      <c r="R2" s="11"/>
    </row>
    <row r="3" spans="1:18" ht="12.75" customHeight="1" thickBot="1">
      <c r="A3" s="323" t="s">
        <v>61</v>
      </c>
      <c r="B3" s="324"/>
      <c r="C3" s="324"/>
      <c r="D3" s="88">
        <f>-'CÀLCUL QUOTES'!E56</f>
        <v>167</v>
      </c>
      <c r="E3" s="88">
        <f>-'CÀLCUL QUOTES'!F56</f>
        <v>120</v>
      </c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11"/>
    </row>
    <row r="4" spans="1:18" ht="12.75" customHeight="1" thickBot="1">
      <c r="A4" s="84"/>
      <c r="B4" s="84"/>
      <c r="C4" s="84"/>
      <c r="D4" s="64" t="s">
        <v>5</v>
      </c>
      <c r="E4" s="64" t="s">
        <v>6</v>
      </c>
      <c r="F4" s="64" t="s">
        <v>7</v>
      </c>
      <c r="G4" s="64" t="s">
        <v>8</v>
      </c>
      <c r="H4" s="64" t="s">
        <v>9</v>
      </c>
      <c r="I4" s="64" t="s">
        <v>10</v>
      </c>
      <c r="J4" s="64" t="s">
        <v>11</v>
      </c>
      <c r="K4" s="64" t="s">
        <v>12</v>
      </c>
      <c r="L4" s="64" t="s">
        <v>13</v>
      </c>
      <c r="M4" s="64" t="s">
        <v>14</v>
      </c>
      <c r="N4" s="64" t="s">
        <v>15</v>
      </c>
      <c r="O4" s="64" t="s">
        <v>16</v>
      </c>
      <c r="P4" s="64" t="s">
        <v>17</v>
      </c>
      <c r="Q4" s="64" t="s">
        <v>18</v>
      </c>
      <c r="R4" s="11"/>
    </row>
    <row r="5" spans="1:18" ht="12.75" customHeight="1">
      <c r="A5" s="89" t="s">
        <v>142</v>
      </c>
      <c r="B5" s="90"/>
      <c r="C5" s="90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2"/>
      <c r="R5" s="11"/>
    </row>
    <row r="6" spans="1:18" ht="12.75" customHeight="1" thickBot="1">
      <c r="A6" s="96" t="s">
        <v>143</v>
      </c>
      <c r="B6" s="97"/>
      <c r="C6" s="97"/>
      <c r="D6" s="186">
        <f>-'CÀLCUL QUOTES'!D63</f>
        <v>15.629448381294964</v>
      </c>
      <c r="E6" s="186">
        <f>-'CÀLCUL QUOTES'!E63</f>
        <v>46.57400927419355</v>
      </c>
      <c r="F6" s="186">
        <f>-'CÀLCUL QUOTES'!F63</f>
        <v>14.161111726804123</v>
      </c>
      <c r="G6" s="186">
        <f>-'CÀLCUL QUOTES'!G63</f>
        <v>35.059941625615764</v>
      </c>
      <c r="H6" s="186">
        <f>-'CÀLCUL QUOTES'!H63</f>
        <v>47.654243437514154</v>
      </c>
      <c r="I6" s="186">
        <f>-'CÀLCUL QUOTES'!I63</f>
        <v>20.01677978808986</v>
      </c>
      <c r="J6" s="186">
        <f>-'CÀLCUL QUOTES'!J63</f>
        <v>24.957615164728679</v>
      </c>
      <c r="K6" s="186">
        <f>-'CÀLCUL QUOTES'!K63</f>
        <v>25.14915118343195</v>
      </c>
      <c r="L6" s="186">
        <f>-'CÀLCUL QUOTES'!L63</f>
        <v>18.993688670406172</v>
      </c>
      <c r="M6" s="186">
        <f>-'CÀLCUL QUOTES'!M63</f>
        <v>31.070907370003422</v>
      </c>
      <c r="N6" s="186">
        <f>-'CÀLCUL QUOTES'!N63</f>
        <v>17.625901731601729</v>
      </c>
      <c r="O6" s="186">
        <f>-'CÀLCUL QUOTES'!O63</f>
        <v>36.9054618730475</v>
      </c>
      <c r="P6" s="186">
        <f>-'CÀLCUL QUOTES'!P63</f>
        <v>21.272231590122498</v>
      </c>
      <c r="Q6" s="213">
        <f>-'CÀLCUL QUOTES'!Q63</f>
        <v>28.425840411918855</v>
      </c>
      <c r="R6" s="11"/>
    </row>
    <row r="7" spans="1:18" ht="12.75" customHeight="1" thickBot="1">
      <c r="A7" s="309"/>
      <c r="B7" s="309"/>
      <c r="C7" s="309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11"/>
    </row>
    <row r="8" spans="1:18" ht="12.75" customHeight="1" thickBot="1">
      <c r="A8" s="98" t="s">
        <v>144</v>
      </c>
      <c r="B8" s="99"/>
      <c r="C8" s="99"/>
      <c r="D8" s="100">
        <f>$D$3+D6</f>
        <v>182.62944838129496</v>
      </c>
      <c r="E8" s="100">
        <f t="shared" ref="E8:P8" si="0">$D$3+E6</f>
        <v>213.57400927419354</v>
      </c>
      <c r="F8" s="100">
        <f t="shared" si="0"/>
        <v>181.16111172680411</v>
      </c>
      <c r="G8" s="100">
        <f t="shared" si="0"/>
        <v>202.05994162561575</v>
      </c>
      <c r="H8" s="100">
        <f t="shared" si="0"/>
        <v>214.65424343751414</v>
      </c>
      <c r="I8" s="100">
        <f t="shared" si="0"/>
        <v>187.01677978808985</v>
      </c>
      <c r="J8" s="100">
        <f t="shared" si="0"/>
        <v>191.95761516472868</v>
      </c>
      <c r="K8" s="100">
        <f>$D$3+K6</f>
        <v>192.14915118343194</v>
      </c>
      <c r="L8" s="100">
        <f t="shared" si="0"/>
        <v>185.99368867040619</v>
      </c>
      <c r="M8" s="100">
        <f t="shared" si="0"/>
        <v>198.07090737000343</v>
      </c>
      <c r="N8" s="100">
        <f t="shared" si="0"/>
        <v>184.62590173160174</v>
      </c>
      <c r="O8" s="100">
        <f t="shared" si="0"/>
        <v>203.9054618730475</v>
      </c>
      <c r="P8" s="100">
        <f t="shared" si="0"/>
        <v>188.27223159012249</v>
      </c>
      <c r="Q8" s="101">
        <f>$D$3+Q6</f>
        <v>195.42584041191884</v>
      </c>
      <c r="R8" s="11"/>
    </row>
    <row r="9" spans="1:18" ht="12.75" customHeight="1" thickBot="1">
      <c r="A9" s="98" t="s">
        <v>145</v>
      </c>
      <c r="B9" s="99"/>
      <c r="C9" s="99"/>
      <c r="D9" s="100">
        <f>$E$3+D6</f>
        <v>135.62944838129496</v>
      </c>
      <c r="E9" s="100">
        <f t="shared" ref="E9:Q9" si="1">$E$3+E6</f>
        <v>166.57400927419354</v>
      </c>
      <c r="F9" s="100">
        <f t="shared" si="1"/>
        <v>134.16111172680411</v>
      </c>
      <c r="G9" s="100">
        <f t="shared" si="1"/>
        <v>155.05994162561575</v>
      </c>
      <c r="H9" s="100">
        <f t="shared" si="1"/>
        <v>167.65424343751414</v>
      </c>
      <c r="I9" s="100">
        <f t="shared" si="1"/>
        <v>140.01677978808985</v>
      </c>
      <c r="J9" s="100">
        <f t="shared" si="1"/>
        <v>144.95761516472868</v>
      </c>
      <c r="K9" s="100">
        <f t="shared" si="1"/>
        <v>145.14915118343194</v>
      </c>
      <c r="L9" s="100">
        <f t="shared" si="1"/>
        <v>138.99368867040619</v>
      </c>
      <c r="M9" s="100">
        <f t="shared" si="1"/>
        <v>151.07090737000343</v>
      </c>
      <c r="N9" s="100">
        <f t="shared" si="1"/>
        <v>137.62590173160174</v>
      </c>
      <c r="O9" s="100">
        <f t="shared" si="1"/>
        <v>156.9054618730475</v>
      </c>
      <c r="P9" s="100">
        <f t="shared" si="1"/>
        <v>141.27223159012249</v>
      </c>
      <c r="Q9" s="100">
        <f t="shared" si="1"/>
        <v>148.42584041191884</v>
      </c>
      <c r="R9" s="11"/>
    </row>
    <row r="10" spans="1:18" ht="12.75" customHeight="1">
      <c r="A10" s="159"/>
      <c r="B10" s="159"/>
      <c r="C10" s="159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11"/>
    </row>
    <row r="11" spans="1:18" ht="12.75" customHeight="1">
      <c r="A11" s="111" t="s">
        <v>146</v>
      </c>
      <c r="B11" s="159"/>
      <c r="C11" s="159"/>
      <c r="D11" s="64" t="s">
        <v>5</v>
      </c>
      <c r="E11" s="64" t="s">
        <v>6</v>
      </c>
      <c r="F11" s="64" t="s">
        <v>7</v>
      </c>
      <c r="G11" s="64" t="s">
        <v>8</v>
      </c>
      <c r="H11" s="64" t="s">
        <v>9</v>
      </c>
      <c r="I11" s="64" t="s">
        <v>10</v>
      </c>
      <c r="J11" s="64" t="s">
        <v>11</v>
      </c>
      <c r="K11" s="64" t="s">
        <v>12</v>
      </c>
      <c r="L11" s="64" t="s">
        <v>13</v>
      </c>
      <c r="M11" s="64" t="s">
        <v>14</v>
      </c>
      <c r="N11" s="64" t="s">
        <v>15</v>
      </c>
      <c r="O11" s="64" t="s">
        <v>16</v>
      </c>
      <c r="P11" s="64" t="s">
        <v>17</v>
      </c>
      <c r="Q11" s="64" t="s">
        <v>18</v>
      </c>
      <c r="R11" s="11"/>
    </row>
    <row r="12" spans="1:18">
      <c r="A12" s="114" t="s">
        <v>147</v>
      </c>
      <c r="C12" s="106"/>
      <c r="D12" s="106">
        <f>D13+D14</f>
        <v>278</v>
      </c>
      <c r="E12" s="106">
        <f t="shared" ref="E12:P12" si="2">E13+E14</f>
        <v>2108</v>
      </c>
      <c r="F12" s="106">
        <f t="shared" si="2"/>
        <v>776</v>
      </c>
      <c r="G12" s="106">
        <f t="shared" si="2"/>
        <v>203</v>
      </c>
      <c r="H12" s="106">
        <f t="shared" si="2"/>
        <v>438</v>
      </c>
      <c r="I12" s="106">
        <f t="shared" si="2"/>
        <v>529</v>
      </c>
      <c r="J12" s="106">
        <f t="shared" si="2"/>
        <v>1032</v>
      </c>
      <c r="K12" s="106">
        <f t="shared" si="2"/>
        <v>169</v>
      </c>
      <c r="L12" s="106">
        <f t="shared" si="2"/>
        <v>1547</v>
      </c>
      <c r="M12" s="106">
        <f t="shared" si="2"/>
        <v>1525</v>
      </c>
      <c r="N12" s="106">
        <f t="shared" si="2"/>
        <v>231</v>
      </c>
      <c r="O12" s="106">
        <f t="shared" si="2"/>
        <v>1425</v>
      </c>
      <c r="P12" s="106">
        <f t="shared" si="2"/>
        <v>2229</v>
      </c>
      <c r="Q12" s="106">
        <f>SUM(D12:P12)</f>
        <v>12490</v>
      </c>
      <c r="R12" s="106"/>
    </row>
    <row r="13" spans="1:18">
      <c r="A13" s="114" t="s">
        <v>148</v>
      </c>
      <c r="C13" s="106"/>
      <c r="D13" s="106">
        <v>221</v>
      </c>
      <c r="E13" s="106">
        <v>1989</v>
      </c>
      <c r="F13" s="106">
        <v>714</v>
      </c>
      <c r="G13" s="106">
        <v>162</v>
      </c>
      <c r="H13" s="106">
        <v>414</v>
      </c>
      <c r="I13" s="106">
        <v>510</v>
      </c>
      <c r="J13" s="106">
        <v>953</v>
      </c>
      <c r="K13" s="106">
        <v>169</v>
      </c>
      <c r="L13" s="106">
        <v>1469</v>
      </c>
      <c r="M13" s="106">
        <v>1284</v>
      </c>
      <c r="N13" s="106">
        <v>231</v>
      </c>
      <c r="O13" s="106">
        <v>1354</v>
      </c>
      <c r="P13" s="106">
        <v>2209</v>
      </c>
      <c r="Q13" s="106">
        <f>SUM(D13:P13)</f>
        <v>11679</v>
      </c>
    </row>
    <row r="14" spans="1:18">
      <c r="A14" s="114" t="s">
        <v>149</v>
      </c>
      <c r="C14" s="106"/>
      <c r="D14" s="106">
        <v>57</v>
      </c>
      <c r="E14" s="106">
        <v>119</v>
      </c>
      <c r="F14" s="106">
        <v>62</v>
      </c>
      <c r="G14" s="106">
        <v>41</v>
      </c>
      <c r="H14" s="106">
        <v>24</v>
      </c>
      <c r="I14" s="106">
        <v>19</v>
      </c>
      <c r="J14" s="106">
        <v>79</v>
      </c>
      <c r="K14" s="106">
        <v>0</v>
      </c>
      <c r="L14" s="106">
        <v>78</v>
      </c>
      <c r="M14" s="106">
        <v>241</v>
      </c>
      <c r="N14" s="106">
        <v>0</v>
      </c>
      <c r="O14" s="106">
        <v>71</v>
      </c>
      <c r="P14" s="106">
        <v>20</v>
      </c>
      <c r="Q14" s="106">
        <f>SUM(D14:P14)</f>
        <v>811</v>
      </c>
      <c r="R14" s="39">
        <f>Q14/Q12</f>
        <v>6.4931945556445159E-2</v>
      </c>
    </row>
    <row r="15" spans="1:18">
      <c r="A15" s="114" t="s">
        <v>150</v>
      </c>
      <c r="C15" s="106"/>
      <c r="D15" s="106">
        <f>0.02*D13</f>
        <v>4.42</v>
      </c>
      <c r="E15" s="106">
        <f t="shared" ref="E15:Q16" si="3">0.02*E13</f>
        <v>39.78</v>
      </c>
      <c r="F15" s="106">
        <f t="shared" si="3"/>
        <v>14.280000000000001</v>
      </c>
      <c r="G15" s="106">
        <f t="shared" si="3"/>
        <v>3.24</v>
      </c>
      <c r="H15" s="106">
        <f t="shared" si="3"/>
        <v>8.2799999999999994</v>
      </c>
      <c r="I15" s="106">
        <f t="shared" si="3"/>
        <v>10.200000000000001</v>
      </c>
      <c r="J15" s="106">
        <f t="shared" si="3"/>
        <v>19.059999999999999</v>
      </c>
      <c r="K15" s="106">
        <f t="shared" si="3"/>
        <v>3.38</v>
      </c>
      <c r="L15" s="106">
        <f t="shared" si="3"/>
        <v>29.38</v>
      </c>
      <c r="M15" s="106">
        <f t="shared" si="3"/>
        <v>25.68</v>
      </c>
      <c r="N15" s="106">
        <f t="shared" si="3"/>
        <v>4.62</v>
      </c>
      <c r="O15" s="106">
        <f t="shared" si="3"/>
        <v>27.080000000000002</v>
      </c>
      <c r="P15" s="106">
        <f t="shared" si="3"/>
        <v>44.18</v>
      </c>
      <c r="Q15" s="106">
        <f t="shared" si="3"/>
        <v>233.58</v>
      </c>
    </row>
    <row r="16" spans="1:18" ht="13.5" thickBot="1">
      <c r="A16" s="114" t="s">
        <v>151</v>
      </c>
      <c r="C16" s="106"/>
      <c r="D16" s="106">
        <f>0.02*D14</f>
        <v>1.1400000000000001</v>
      </c>
      <c r="E16" s="106">
        <f t="shared" si="3"/>
        <v>2.38</v>
      </c>
      <c r="F16" s="106">
        <f t="shared" si="3"/>
        <v>1.24</v>
      </c>
      <c r="G16" s="106">
        <f t="shared" si="3"/>
        <v>0.82000000000000006</v>
      </c>
      <c r="H16" s="106">
        <f t="shared" si="3"/>
        <v>0.48</v>
      </c>
      <c r="I16" s="106">
        <f t="shared" si="3"/>
        <v>0.38</v>
      </c>
      <c r="J16" s="106">
        <f t="shared" si="3"/>
        <v>1.58</v>
      </c>
      <c r="K16" s="106">
        <f t="shared" si="3"/>
        <v>0</v>
      </c>
      <c r="L16" s="106">
        <f t="shared" si="3"/>
        <v>1.56</v>
      </c>
      <c r="M16" s="106">
        <f t="shared" si="3"/>
        <v>4.82</v>
      </c>
      <c r="N16" s="106">
        <f t="shared" si="3"/>
        <v>0</v>
      </c>
      <c r="O16" s="106">
        <f t="shared" si="3"/>
        <v>1.42</v>
      </c>
      <c r="P16" s="106">
        <f t="shared" si="3"/>
        <v>0.4</v>
      </c>
      <c r="Q16" s="106">
        <f t="shared" si="3"/>
        <v>16.22</v>
      </c>
    </row>
    <row r="17" spans="1:17">
      <c r="A17" s="116" t="s">
        <v>59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293"/>
    </row>
    <row r="18" spans="1:17">
      <c r="A18" s="294" t="s">
        <v>152</v>
      </c>
      <c r="C18" s="106"/>
      <c r="D18" s="11">
        <f t="shared" ref="D18:Q18" si="4">D8</f>
        <v>182.62944838129496</v>
      </c>
      <c r="E18" s="11">
        <f t="shared" si="4"/>
        <v>213.57400927419354</v>
      </c>
      <c r="F18" s="11">
        <f t="shared" si="4"/>
        <v>181.16111172680411</v>
      </c>
      <c r="G18" s="11">
        <f t="shared" si="4"/>
        <v>202.05994162561575</v>
      </c>
      <c r="H18" s="11">
        <f t="shared" si="4"/>
        <v>214.65424343751414</v>
      </c>
      <c r="I18" s="11">
        <f t="shared" si="4"/>
        <v>187.01677978808985</v>
      </c>
      <c r="J18" s="11">
        <f t="shared" si="4"/>
        <v>191.95761516472868</v>
      </c>
      <c r="K18" s="11">
        <f>K8</f>
        <v>192.14915118343194</v>
      </c>
      <c r="L18" s="11">
        <f t="shared" si="4"/>
        <v>185.99368867040619</v>
      </c>
      <c r="M18" s="11">
        <f t="shared" si="4"/>
        <v>198.07090737000343</v>
      </c>
      <c r="N18" s="11">
        <f t="shared" si="4"/>
        <v>184.62590173160174</v>
      </c>
      <c r="O18" s="11">
        <f t="shared" si="4"/>
        <v>203.9054618730475</v>
      </c>
      <c r="P18" s="11">
        <f t="shared" si="4"/>
        <v>188.27223159012249</v>
      </c>
      <c r="Q18" s="295">
        <f t="shared" si="4"/>
        <v>195.42584041191884</v>
      </c>
    </row>
    <row r="19" spans="1:17">
      <c r="A19" s="294" t="s">
        <v>153</v>
      </c>
      <c r="C19" s="106"/>
      <c r="D19" s="11">
        <f>D18*0.3</f>
        <v>54.788834514388491</v>
      </c>
      <c r="E19" s="11">
        <f t="shared" ref="E19:Q19" si="5">E18*0.3</f>
        <v>64.07220278225806</v>
      </c>
      <c r="F19" s="11">
        <f t="shared" si="5"/>
        <v>54.34833351804123</v>
      </c>
      <c r="G19" s="11">
        <f t="shared" si="5"/>
        <v>60.617982487684721</v>
      </c>
      <c r="H19" s="11">
        <f t="shared" si="5"/>
        <v>64.396273031254239</v>
      </c>
      <c r="I19" s="11">
        <f t="shared" si="5"/>
        <v>56.105033936426956</v>
      </c>
      <c r="J19" s="11">
        <f t="shared" si="5"/>
        <v>57.587284549418598</v>
      </c>
      <c r="K19" s="11">
        <f t="shared" si="5"/>
        <v>57.644745355029578</v>
      </c>
      <c r="L19" s="11">
        <f t="shared" si="5"/>
        <v>55.798106601121852</v>
      </c>
      <c r="M19" s="11">
        <f t="shared" si="5"/>
        <v>59.421272211001025</v>
      </c>
      <c r="N19" s="11">
        <f t="shared" si="5"/>
        <v>55.387770519480519</v>
      </c>
      <c r="O19" s="11">
        <f t="shared" si="5"/>
        <v>61.17163856191425</v>
      </c>
      <c r="P19" s="11">
        <f t="shared" si="5"/>
        <v>56.481669477036746</v>
      </c>
      <c r="Q19" s="295">
        <f t="shared" si="5"/>
        <v>58.627752123575647</v>
      </c>
    </row>
    <row r="20" spans="1:17" ht="13.5" thickBot="1">
      <c r="A20" s="296" t="s">
        <v>154</v>
      </c>
      <c r="B20" s="297"/>
      <c r="C20" s="298"/>
      <c r="D20" s="299">
        <f>D18*(D13-D15)+(D18-D19)*D15</f>
        <v>40118.941443712596</v>
      </c>
      <c r="E20" s="299">
        <f t="shared" ref="E20:P20" si="6">E18*(E13-E15)+(E18-E19)*E15</f>
        <v>422249.91221969278</v>
      </c>
      <c r="F20" s="299">
        <f t="shared" si="6"/>
        <v>128572.93957030051</v>
      </c>
      <c r="G20" s="299">
        <f t="shared" si="6"/>
        <v>32537.308280089652</v>
      </c>
      <c r="H20" s="299">
        <f t="shared" si="6"/>
        <v>88333.655642432073</v>
      </c>
      <c r="I20" s="299">
        <f t="shared" si="6"/>
        <v>94806.286345774264</v>
      </c>
      <c r="J20" s="299">
        <f t="shared" si="6"/>
        <v>181837.9936084745</v>
      </c>
      <c r="K20" s="299">
        <f t="shared" si="6"/>
        <v>32278.3673107</v>
      </c>
      <c r="L20" s="299">
        <f t="shared" si="6"/>
        <v>271585.38028488576</v>
      </c>
      <c r="M20" s="299">
        <f t="shared" si="6"/>
        <v>252797.10679270586</v>
      </c>
      <c r="N20" s="299">
        <f t="shared" si="6"/>
        <v>42392.691800200002</v>
      </c>
      <c r="O20" s="299">
        <f t="shared" si="6"/>
        <v>274431.4674038497</v>
      </c>
      <c r="P20" s="299">
        <f t="shared" si="6"/>
        <v>413397.99942508515</v>
      </c>
      <c r="Q20" s="300">
        <f>SUM(D20:P20)</f>
        <v>2275340.050127903</v>
      </c>
    </row>
    <row r="21" spans="1:17">
      <c r="A21" s="116" t="s">
        <v>60</v>
      </c>
      <c r="B21" s="117"/>
      <c r="C21" s="118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2"/>
    </row>
    <row r="22" spans="1:17">
      <c r="A22" s="294" t="s">
        <v>155</v>
      </c>
      <c r="C22" s="106"/>
      <c r="D22" s="11">
        <f>D9</f>
        <v>135.62944838129496</v>
      </c>
      <c r="E22" s="11">
        <f t="shared" ref="E22:Q22" si="7">E9</f>
        <v>166.57400927419354</v>
      </c>
      <c r="F22" s="11">
        <f t="shared" si="7"/>
        <v>134.16111172680411</v>
      </c>
      <c r="G22" s="11">
        <f t="shared" si="7"/>
        <v>155.05994162561575</v>
      </c>
      <c r="H22" s="11">
        <f t="shared" si="7"/>
        <v>167.65424343751414</v>
      </c>
      <c r="I22" s="11">
        <f t="shared" si="7"/>
        <v>140.01677978808985</v>
      </c>
      <c r="J22" s="11">
        <f t="shared" si="7"/>
        <v>144.95761516472868</v>
      </c>
      <c r="K22" s="11">
        <f t="shared" si="7"/>
        <v>145.14915118343194</v>
      </c>
      <c r="L22" s="11">
        <f t="shared" si="7"/>
        <v>138.99368867040619</v>
      </c>
      <c r="M22" s="11">
        <f t="shared" si="7"/>
        <v>151.07090737000343</v>
      </c>
      <c r="N22" s="11">
        <f t="shared" si="7"/>
        <v>137.62590173160174</v>
      </c>
      <c r="O22" s="11">
        <f t="shared" si="7"/>
        <v>156.9054618730475</v>
      </c>
      <c r="P22" s="11">
        <f t="shared" si="7"/>
        <v>141.27223159012249</v>
      </c>
      <c r="Q22" s="295">
        <f t="shared" si="7"/>
        <v>148.42584041191884</v>
      </c>
    </row>
    <row r="23" spans="1:17">
      <c r="A23" s="294" t="s">
        <v>153</v>
      </c>
      <c r="C23" s="106"/>
      <c r="D23" s="11">
        <f>D22*0.3</f>
        <v>40.688834514388489</v>
      </c>
      <c r="E23" s="11">
        <f t="shared" ref="E23:Q23" si="8">E22*0.3</f>
        <v>49.972202782258059</v>
      </c>
      <c r="F23" s="11">
        <f t="shared" si="8"/>
        <v>40.248333518041228</v>
      </c>
      <c r="G23" s="11">
        <f t="shared" si="8"/>
        <v>46.517982487684726</v>
      </c>
      <c r="H23" s="11">
        <f t="shared" si="8"/>
        <v>50.296273031254238</v>
      </c>
      <c r="I23" s="11">
        <f t="shared" si="8"/>
        <v>42.005033936426955</v>
      </c>
      <c r="J23" s="11">
        <f t="shared" si="8"/>
        <v>43.487284549418604</v>
      </c>
      <c r="K23" s="11">
        <f t="shared" si="8"/>
        <v>43.544745355029583</v>
      </c>
      <c r="L23" s="11">
        <f t="shared" si="8"/>
        <v>41.698106601121857</v>
      </c>
      <c r="M23" s="11">
        <f t="shared" si="8"/>
        <v>45.321272211001023</v>
      </c>
      <c r="N23" s="11">
        <f t="shared" si="8"/>
        <v>41.287770519480524</v>
      </c>
      <c r="O23" s="11">
        <f t="shared" si="8"/>
        <v>47.071638561914249</v>
      </c>
      <c r="P23" s="11">
        <f t="shared" si="8"/>
        <v>42.381669477036745</v>
      </c>
      <c r="Q23" s="295">
        <f t="shared" si="8"/>
        <v>44.527752123575652</v>
      </c>
    </row>
    <row r="24" spans="1:17" ht="13.5" thickBot="1">
      <c r="A24" s="296" t="s">
        <v>154</v>
      </c>
      <c r="B24" s="297"/>
      <c r="C24" s="298"/>
      <c r="D24" s="299">
        <f>D22*(D14-D16)+(D22-D23)*D16</f>
        <v>7684.4932863874101</v>
      </c>
      <c r="E24" s="299">
        <f t="shared" ref="E24:P24" si="9">E22*(E14-E16)+(E22-E23)*E16</f>
        <v>19703.373261007258</v>
      </c>
      <c r="F24" s="299">
        <f t="shared" si="9"/>
        <v>8268.0809934994832</v>
      </c>
      <c r="G24" s="299">
        <f t="shared" si="9"/>
        <v>6319.312861010344</v>
      </c>
      <c r="H24" s="299">
        <f t="shared" si="9"/>
        <v>3999.5596314453369</v>
      </c>
      <c r="I24" s="299">
        <f t="shared" si="9"/>
        <v>2644.3569030778649</v>
      </c>
      <c r="J24" s="299">
        <f t="shared" si="9"/>
        <v>11382.941688425484</v>
      </c>
      <c r="K24" s="299">
        <f t="shared" si="9"/>
        <v>0</v>
      </c>
      <c r="L24" s="299">
        <f t="shared" si="9"/>
        <v>10776.458669993934</v>
      </c>
      <c r="M24" s="299">
        <f t="shared" si="9"/>
        <v>36189.6401441138</v>
      </c>
      <c r="N24" s="299">
        <f t="shared" si="9"/>
        <v>0</v>
      </c>
      <c r="O24" s="299">
        <f t="shared" si="9"/>
        <v>11073.446066228455</v>
      </c>
      <c r="P24" s="299">
        <f t="shared" si="9"/>
        <v>2808.4919640116354</v>
      </c>
      <c r="Q24" s="300">
        <f>SUM(D24:P24)</f>
        <v>120850.15546920101</v>
      </c>
    </row>
    <row r="25" spans="1:17">
      <c r="A25" s="114"/>
      <c r="C25" s="106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>
      <c r="A26" s="115" t="s">
        <v>156</v>
      </c>
      <c r="B26" s="33"/>
      <c r="C26" s="147"/>
      <c r="D26" s="292">
        <f>D20+D24</f>
        <v>47803.434730100009</v>
      </c>
      <c r="E26" s="292">
        <f t="shared" ref="E26:O26" si="10">E20+E24</f>
        <v>441953.28548070003</v>
      </c>
      <c r="F26" s="292">
        <f t="shared" si="10"/>
        <v>136841.0205638</v>
      </c>
      <c r="G26" s="292">
        <f t="shared" si="10"/>
        <v>38856.621141099997</v>
      </c>
      <c r="H26" s="292">
        <f t="shared" si="10"/>
        <v>92333.215273877417</v>
      </c>
      <c r="I26" s="292">
        <f t="shared" si="10"/>
        <v>97450.643248852124</v>
      </c>
      <c r="J26" s="292">
        <f t="shared" si="10"/>
        <v>193220.93529689999</v>
      </c>
      <c r="K26" s="292">
        <f t="shared" si="10"/>
        <v>32278.3673107</v>
      </c>
      <c r="L26" s="292">
        <f t="shared" si="10"/>
        <v>282361.83895487967</v>
      </c>
      <c r="M26" s="292">
        <f t="shared" si="10"/>
        <v>288986.74693681963</v>
      </c>
      <c r="N26" s="292">
        <f t="shared" si="10"/>
        <v>42392.691800200002</v>
      </c>
      <c r="O26" s="292">
        <f t="shared" si="10"/>
        <v>285504.91347007814</v>
      </c>
      <c r="P26" s="292">
        <f>P20+P24</f>
        <v>416206.49138909677</v>
      </c>
      <c r="Q26" s="292">
        <f>SUM(D26:P26)</f>
        <v>2396190.2055971036</v>
      </c>
    </row>
    <row r="27" spans="1:17">
      <c r="A27" s="114"/>
      <c r="C27" s="106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>
      <c r="A28" s="111" t="s">
        <v>157</v>
      </c>
      <c r="C28" s="106"/>
      <c r="I28" s="11"/>
      <c r="J28" s="34"/>
      <c r="K28" s="34"/>
      <c r="L28" s="34"/>
      <c r="M28" s="34"/>
      <c r="N28" s="34"/>
      <c r="O28" s="34"/>
      <c r="P28" s="34"/>
    </row>
    <row r="29" spans="1:17">
      <c r="A29" s="114" t="s">
        <v>148</v>
      </c>
      <c r="D29" s="106">
        <f>Q13</f>
        <v>11679</v>
      </c>
      <c r="E29" s="210"/>
      <c r="F29" s="106"/>
      <c r="G29" s="210"/>
    </row>
    <row r="30" spans="1:17">
      <c r="A30" s="114" t="s">
        <v>158</v>
      </c>
      <c r="D30" s="106">
        <f>Q14</f>
        <v>811</v>
      </c>
    </row>
    <row r="31" spans="1:17">
      <c r="A31" s="115" t="s">
        <v>159</v>
      </c>
      <c r="B31" s="33"/>
      <c r="C31" s="147"/>
      <c r="D31" s="148">
        <f>E42</f>
        <v>172540.9</v>
      </c>
    </row>
    <row r="32" spans="1:17" ht="13.5" thickBot="1">
      <c r="A32" s="115"/>
      <c r="B32" s="33"/>
      <c r="C32" s="147"/>
      <c r="D32" s="148"/>
    </row>
    <row r="33" spans="1:15" ht="13.5" thickBot="1">
      <c r="A33" s="116" t="s">
        <v>160</v>
      </c>
      <c r="B33" s="187"/>
      <c r="C33" s="188">
        <f>Q26</f>
        <v>2396190.2055971036</v>
      </c>
      <c r="D33" s="214">
        <f>C33/C35</f>
        <v>0.93283029912159976</v>
      </c>
    </row>
    <row r="34" spans="1:15">
      <c r="A34" s="189" t="s">
        <v>159</v>
      </c>
      <c r="B34" s="33"/>
      <c r="C34" s="190">
        <f>D31</f>
        <v>172540.9</v>
      </c>
      <c r="D34" s="214">
        <f>C34/C35</f>
        <v>6.7169700878400324E-2</v>
      </c>
      <c r="H34" s="362" t="s">
        <v>161</v>
      </c>
      <c r="I34" s="363"/>
      <c r="J34" s="364"/>
    </row>
    <row r="35" spans="1:15" ht="13.5" thickBot="1">
      <c r="A35" s="191" t="s">
        <v>162</v>
      </c>
      <c r="B35" s="192"/>
      <c r="C35" s="193">
        <f>C33+C34</f>
        <v>2568731.1055971035</v>
      </c>
      <c r="D35" s="148"/>
      <c r="H35" s="365"/>
      <c r="I35" s="366"/>
      <c r="J35" s="367"/>
    </row>
    <row r="36" spans="1:15" ht="13.5" thickBot="1">
      <c r="A36" s="114"/>
      <c r="C36" s="106"/>
    </row>
    <row r="37" spans="1:15" ht="12.75" customHeight="1" thickBot="1">
      <c r="A37" s="116" t="s">
        <v>163</v>
      </c>
      <c r="B37" s="117"/>
      <c r="C37" s="118"/>
      <c r="D37" s="117"/>
      <c r="E37" s="119"/>
      <c r="H37" s="164"/>
      <c r="I37" s="164"/>
      <c r="J37" s="285"/>
      <c r="K37" s="285"/>
      <c r="L37" s="285"/>
      <c r="M37" s="285"/>
    </row>
    <row r="38" spans="1:15" ht="13.5" customHeight="1" thickBot="1">
      <c r="A38" s="120" t="s">
        <v>164</v>
      </c>
      <c r="B38" s="121"/>
      <c r="C38" s="122"/>
      <c r="D38" s="123"/>
      <c r="E38" s="124">
        <f>E45+E46+E47+E48</f>
        <v>44380.200000000004</v>
      </c>
      <c r="H38" s="286"/>
      <c r="I38" s="287" t="s">
        <v>165</v>
      </c>
      <c r="J38" s="287" t="s">
        <v>166</v>
      </c>
      <c r="K38" s="287" t="s">
        <v>167</v>
      </c>
      <c r="L38" s="287" t="s">
        <v>168</v>
      </c>
      <c r="M38" s="287" t="s">
        <v>169</v>
      </c>
      <c r="N38" s="34"/>
      <c r="O38" s="34"/>
    </row>
    <row r="39" spans="1:15" ht="12.75" customHeight="1" thickBot="1">
      <c r="A39" s="125" t="s">
        <v>170</v>
      </c>
      <c r="B39" s="34"/>
      <c r="C39" s="126"/>
      <c r="D39" s="127"/>
      <c r="E39" s="128">
        <f>E50+E51+E52+E53</f>
        <v>39708.6</v>
      </c>
      <c r="F39" s="37"/>
      <c r="H39" s="354" t="s">
        <v>171</v>
      </c>
      <c r="I39" s="352">
        <v>156</v>
      </c>
      <c r="J39" s="288" t="s">
        <v>172</v>
      </c>
      <c r="K39" s="288" t="s">
        <v>173</v>
      </c>
      <c r="L39" s="288" t="s">
        <v>174</v>
      </c>
      <c r="M39" s="288" t="s">
        <v>175</v>
      </c>
      <c r="N39" s="34"/>
      <c r="O39" s="34"/>
    </row>
    <row r="40" spans="1:15" ht="17.25" customHeight="1" thickBot="1">
      <c r="A40" s="120" t="s">
        <v>176</v>
      </c>
      <c r="B40" s="129"/>
      <c r="C40" s="130"/>
      <c r="D40" s="129"/>
      <c r="E40" s="124">
        <f>E55+E56+E57</f>
        <v>57227.1</v>
      </c>
      <c r="H40" s="355"/>
      <c r="I40" s="353"/>
      <c r="J40" s="289">
        <v>35</v>
      </c>
      <c r="K40" s="289">
        <v>25</v>
      </c>
      <c r="L40" s="289">
        <v>10</v>
      </c>
      <c r="M40" s="289">
        <v>0</v>
      </c>
      <c r="N40" s="34"/>
      <c r="O40" s="34"/>
    </row>
    <row r="41" spans="1:15" ht="14.45" customHeight="1" thickBot="1">
      <c r="A41" s="125" t="s">
        <v>91</v>
      </c>
      <c r="B41" s="34"/>
      <c r="C41" s="126"/>
      <c r="D41" s="127"/>
      <c r="E41" s="128">
        <f>E59+E60</f>
        <v>31225</v>
      </c>
      <c r="H41" s="354" t="s">
        <v>177</v>
      </c>
      <c r="I41" s="352">
        <v>104</v>
      </c>
      <c r="J41" s="288" t="s">
        <v>178</v>
      </c>
      <c r="K41" s="288" t="s">
        <v>179</v>
      </c>
      <c r="L41" s="288" t="s">
        <v>180</v>
      </c>
      <c r="M41" s="288" t="s">
        <v>181</v>
      </c>
      <c r="N41" s="34"/>
      <c r="O41" s="34"/>
    </row>
    <row r="42" spans="1:15" ht="14.45" customHeight="1" thickBot="1">
      <c r="A42" s="131" t="s">
        <v>182</v>
      </c>
      <c r="B42" s="112"/>
      <c r="C42" s="112"/>
      <c r="D42" s="112"/>
      <c r="E42" s="132">
        <f>SUM(E38:E41)</f>
        <v>172540.9</v>
      </c>
      <c r="H42" s="355"/>
      <c r="I42" s="353"/>
      <c r="J42" s="289">
        <v>20</v>
      </c>
      <c r="K42" s="289">
        <v>15</v>
      </c>
      <c r="L42" s="289">
        <v>5</v>
      </c>
      <c r="M42" s="289">
        <v>0</v>
      </c>
      <c r="N42" s="34"/>
      <c r="O42" s="34"/>
    </row>
    <row r="43" spans="1:15" ht="14.45" customHeight="1" thickBot="1">
      <c r="A43" s="133" t="s">
        <v>183</v>
      </c>
      <c r="B43" s="113"/>
      <c r="C43" s="113"/>
      <c r="D43" s="113"/>
      <c r="E43" s="134">
        <f>E42/D29</f>
        <v>14.773602191968489</v>
      </c>
      <c r="H43" s="354" t="s">
        <v>184</v>
      </c>
      <c r="I43" s="352">
        <v>26</v>
      </c>
      <c r="J43" s="288" t="s">
        <v>178</v>
      </c>
      <c r="K43" s="346" t="s">
        <v>185</v>
      </c>
      <c r="L43" s="348"/>
      <c r="M43" s="288" t="s">
        <v>186</v>
      </c>
      <c r="N43" s="34"/>
      <c r="O43" s="34"/>
    </row>
    <row r="44" spans="1:15" ht="26.25" customHeight="1" thickBot="1">
      <c r="A44" s="135" t="s">
        <v>164</v>
      </c>
      <c r="B44" s="104" t="s">
        <v>187</v>
      </c>
      <c r="C44" s="104"/>
      <c r="D44" s="105" t="s">
        <v>188</v>
      </c>
      <c r="E44" s="136" t="s">
        <v>189</v>
      </c>
      <c r="H44" s="355"/>
      <c r="I44" s="353"/>
      <c r="J44" s="289">
        <v>50</v>
      </c>
      <c r="K44" s="349">
        <v>20</v>
      </c>
      <c r="L44" s="350"/>
      <c r="M44" s="289">
        <v>0</v>
      </c>
      <c r="N44" s="34"/>
      <c r="O44" s="34"/>
    </row>
    <row r="45" spans="1:15" ht="15" customHeight="1" thickBot="1">
      <c r="A45" s="137" t="s">
        <v>190</v>
      </c>
      <c r="B45" s="269">
        <v>0.03</v>
      </c>
      <c r="C45" s="139">
        <f>$D$29*B45</f>
        <v>350.37</v>
      </c>
      <c r="D45" s="140">
        <f>J40</f>
        <v>35</v>
      </c>
      <c r="E45" s="141">
        <f>+D45*C45</f>
        <v>12262.95</v>
      </c>
      <c r="F45" s="38"/>
      <c r="H45" s="356" t="s">
        <v>191</v>
      </c>
      <c r="I45" s="357"/>
      <c r="J45" s="346">
        <v>0</v>
      </c>
      <c r="K45" s="347"/>
      <c r="L45" s="348"/>
      <c r="M45" s="288" t="s">
        <v>192</v>
      </c>
      <c r="N45" s="34"/>
      <c r="O45" s="34"/>
    </row>
    <row r="46" spans="1:15" ht="32.25" customHeight="1" thickBot="1">
      <c r="A46" s="137" t="s">
        <v>193</v>
      </c>
      <c r="B46" s="269">
        <v>7.0000000000000007E-2</v>
      </c>
      <c r="C46" s="139">
        <f>$D$29*B46</f>
        <v>817.53000000000009</v>
      </c>
      <c r="D46" s="140">
        <f>K40</f>
        <v>25</v>
      </c>
      <c r="E46" s="141">
        <f>+D46*C46</f>
        <v>20438.250000000004</v>
      </c>
      <c r="F46" s="11"/>
      <c r="H46" s="358"/>
      <c r="I46" s="359"/>
      <c r="J46" s="349">
        <v>10</v>
      </c>
      <c r="K46" s="351"/>
      <c r="L46" s="350"/>
      <c r="M46" s="289">
        <v>0</v>
      </c>
      <c r="O46" s="34"/>
    </row>
    <row r="47" spans="1:15" ht="15" customHeight="1" thickBot="1">
      <c r="A47" s="137" t="s">
        <v>194</v>
      </c>
      <c r="B47" s="138">
        <v>0.1</v>
      </c>
      <c r="C47" s="139">
        <f>$D$29*B47</f>
        <v>1167.9000000000001</v>
      </c>
      <c r="D47" s="140">
        <f>L40</f>
        <v>10</v>
      </c>
      <c r="E47" s="141">
        <f>+D47*C47</f>
        <v>11679</v>
      </c>
      <c r="F47" s="11"/>
      <c r="H47" s="368" t="s">
        <v>46</v>
      </c>
      <c r="I47" s="369"/>
      <c r="J47" s="290">
        <v>115</v>
      </c>
      <c r="K47" s="290">
        <v>70</v>
      </c>
      <c r="L47" s="290">
        <v>45</v>
      </c>
      <c r="M47" s="290">
        <v>0</v>
      </c>
      <c r="N47" s="34"/>
      <c r="O47" s="34"/>
    </row>
    <row r="48" spans="1:15" ht="19.5" customHeight="1">
      <c r="A48" s="142" t="s">
        <v>195</v>
      </c>
      <c r="B48" s="35">
        <v>0.8</v>
      </c>
      <c r="C48" s="139">
        <f>$D$29*B48</f>
        <v>9343.2000000000007</v>
      </c>
      <c r="D48" s="107">
        <f>M40</f>
        <v>0</v>
      </c>
      <c r="E48" s="141">
        <f>+D48*C48</f>
        <v>0</v>
      </c>
      <c r="F48" s="32"/>
      <c r="O48" s="34"/>
    </row>
    <row r="49" spans="1:15" ht="15" customHeight="1" thickBot="1">
      <c r="A49" s="135" t="s">
        <v>170</v>
      </c>
      <c r="B49" s="104" t="s">
        <v>187</v>
      </c>
      <c r="C49" s="104"/>
      <c r="D49" s="105" t="s">
        <v>188</v>
      </c>
      <c r="E49" s="136" t="s">
        <v>189</v>
      </c>
      <c r="N49" s="34"/>
      <c r="O49" s="34"/>
    </row>
    <row r="50" spans="1:15" ht="15.75" customHeight="1" thickBot="1">
      <c r="A50" s="137" t="s">
        <v>190</v>
      </c>
      <c r="B50" s="269">
        <v>0.03</v>
      </c>
      <c r="C50" s="139">
        <f>$D$29*B50</f>
        <v>350.37</v>
      </c>
      <c r="D50" s="143">
        <f>J42</f>
        <v>20</v>
      </c>
      <c r="E50" s="141">
        <f>+D50*C50</f>
        <v>7007.4</v>
      </c>
      <c r="H50" s="286"/>
      <c r="I50" s="287" t="s">
        <v>196</v>
      </c>
      <c r="J50" s="287" t="s">
        <v>166</v>
      </c>
      <c r="K50" s="287" t="s">
        <v>167</v>
      </c>
      <c r="L50" s="287" t="s">
        <v>168</v>
      </c>
      <c r="M50" s="287" t="s">
        <v>169</v>
      </c>
      <c r="N50" s="34"/>
      <c r="O50" s="34"/>
    </row>
    <row r="51" spans="1:15" ht="15" thickBot="1">
      <c r="A51" s="137" t="s">
        <v>193</v>
      </c>
      <c r="B51" s="269">
        <v>7.0000000000000007E-2</v>
      </c>
      <c r="C51" s="139">
        <f>$D$29*B51</f>
        <v>817.53000000000009</v>
      </c>
      <c r="D51" s="143">
        <f>K42</f>
        <v>15</v>
      </c>
      <c r="E51" s="141">
        <f>+D51*C51</f>
        <v>12262.95</v>
      </c>
      <c r="H51" s="354" t="s">
        <v>171</v>
      </c>
      <c r="I51" s="352">
        <v>104</v>
      </c>
      <c r="J51" s="288" t="s">
        <v>172</v>
      </c>
      <c r="K51" s="288" t="s">
        <v>173</v>
      </c>
      <c r="L51" s="288" t="s">
        <v>197</v>
      </c>
      <c r="M51" s="288" t="s">
        <v>198</v>
      </c>
      <c r="N51" s="34"/>
      <c r="O51" s="34"/>
    </row>
    <row r="52" spans="1:15" ht="15" thickBot="1">
      <c r="A52" s="137" t="s">
        <v>194</v>
      </c>
      <c r="B52" s="138">
        <v>0.35</v>
      </c>
      <c r="C52" s="139">
        <f>$D$29*B52</f>
        <v>4087.6499999999996</v>
      </c>
      <c r="D52" s="143">
        <f>L42</f>
        <v>5</v>
      </c>
      <c r="E52" s="141">
        <f>+D52*C52</f>
        <v>20438.25</v>
      </c>
      <c r="H52" s="355"/>
      <c r="I52" s="353"/>
      <c r="J52" s="289">
        <v>35</v>
      </c>
      <c r="K52" s="289">
        <v>25</v>
      </c>
      <c r="L52" s="289">
        <v>10</v>
      </c>
      <c r="M52" s="289">
        <v>0</v>
      </c>
      <c r="N52" s="34"/>
      <c r="O52" s="34"/>
    </row>
    <row r="53" spans="1:15" ht="26.25" customHeight="1" thickBot="1">
      <c r="A53" s="142" t="s">
        <v>195</v>
      </c>
      <c r="B53" s="35">
        <v>0.55000000000000004</v>
      </c>
      <c r="C53" s="139">
        <f>$D$29*B53</f>
        <v>6423.4500000000007</v>
      </c>
      <c r="D53" s="36">
        <f>M42</f>
        <v>0</v>
      </c>
      <c r="E53" s="141">
        <f>+D53*C53</f>
        <v>0</v>
      </c>
      <c r="H53" s="354" t="s">
        <v>177</v>
      </c>
      <c r="I53" s="352">
        <v>52</v>
      </c>
      <c r="J53" s="288" t="s">
        <v>178</v>
      </c>
      <c r="K53" s="288" t="s">
        <v>179</v>
      </c>
      <c r="L53" s="288" t="s">
        <v>199</v>
      </c>
      <c r="M53" s="288" t="s">
        <v>200</v>
      </c>
      <c r="N53" s="34"/>
      <c r="O53" s="34"/>
    </row>
    <row r="54" spans="1:15" ht="15" customHeight="1" thickBot="1">
      <c r="A54" s="135" t="s">
        <v>176</v>
      </c>
      <c r="B54" s="104" t="s">
        <v>187</v>
      </c>
      <c r="C54" s="104"/>
      <c r="D54" s="105" t="s">
        <v>188</v>
      </c>
      <c r="E54" s="136" t="s">
        <v>189</v>
      </c>
      <c r="H54" s="355"/>
      <c r="I54" s="353"/>
      <c r="J54" s="289">
        <v>20</v>
      </c>
      <c r="K54" s="289">
        <v>15</v>
      </c>
      <c r="L54" s="289">
        <v>5</v>
      </c>
      <c r="M54" s="289">
        <v>0</v>
      </c>
      <c r="O54" s="34"/>
    </row>
    <row r="55" spans="1:15" ht="15" customHeight="1" thickBot="1">
      <c r="A55" s="137" t="s">
        <v>193</v>
      </c>
      <c r="B55" s="269">
        <v>0.03</v>
      </c>
      <c r="C55" s="139">
        <f>$D$29*B55</f>
        <v>350.37</v>
      </c>
      <c r="D55" s="143">
        <f>J44</f>
        <v>50</v>
      </c>
      <c r="E55" s="141">
        <f>+D55*C55</f>
        <v>17518.5</v>
      </c>
      <c r="H55" s="354" t="s">
        <v>184</v>
      </c>
      <c r="I55" s="352">
        <v>12</v>
      </c>
      <c r="J55" s="288" t="s">
        <v>178</v>
      </c>
      <c r="K55" s="346" t="s">
        <v>201</v>
      </c>
      <c r="L55" s="348"/>
      <c r="M55" s="288" t="s">
        <v>202</v>
      </c>
      <c r="O55" s="34"/>
    </row>
    <row r="56" spans="1:15" ht="15" customHeight="1" thickBot="1">
      <c r="A56" s="137" t="s">
        <v>194</v>
      </c>
      <c r="B56" s="269">
        <v>0.17</v>
      </c>
      <c r="C56" s="139">
        <f>$D$29*B56</f>
        <v>1985.43</v>
      </c>
      <c r="D56" s="143">
        <f>K44</f>
        <v>20</v>
      </c>
      <c r="E56" s="141">
        <f>+D56*C56</f>
        <v>39708.6</v>
      </c>
      <c r="H56" s="355"/>
      <c r="I56" s="353"/>
      <c r="J56" s="289">
        <v>50</v>
      </c>
      <c r="K56" s="349">
        <v>20</v>
      </c>
      <c r="L56" s="350"/>
      <c r="M56" s="289">
        <v>0</v>
      </c>
      <c r="O56" s="34"/>
    </row>
    <row r="57" spans="1:15" ht="15" customHeight="1" thickBot="1">
      <c r="A57" s="142" t="s">
        <v>195</v>
      </c>
      <c r="B57" s="152">
        <v>0.8</v>
      </c>
      <c r="C57" s="139">
        <f>$D$29*B57</f>
        <v>9343.2000000000007</v>
      </c>
      <c r="D57" s="36">
        <f>M44</f>
        <v>0</v>
      </c>
      <c r="E57" s="141">
        <f>+D57*C57</f>
        <v>0</v>
      </c>
      <c r="H57" s="356" t="s">
        <v>191</v>
      </c>
      <c r="I57" s="357"/>
      <c r="J57" s="346">
        <v>0</v>
      </c>
      <c r="K57" s="347"/>
      <c r="L57" s="348"/>
      <c r="M57" s="288" t="s">
        <v>203</v>
      </c>
      <c r="O57" s="34"/>
    </row>
    <row r="58" spans="1:15" ht="27.75" customHeight="1" thickBot="1">
      <c r="A58" s="270" t="s">
        <v>204</v>
      </c>
      <c r="B58" s="104" t="s">
        <v>187</v>
      </c>
      <c r="C58" s="104"/>
      <c r="D58" s="105" t="s">
        <v>188</v>
      </c>
      <c r="E58" s="136" t="s">
        <v>189</v>
      </c>
      <c r="H58" s="358"/>
      <c r="I58" s="359"/>
      <c r="J58" s="349">
        <v>10</v>
      </c>
      <c r="K58" s="351"/>
      <c r="L58" s="350"/>
      <c r="M58" s="289">
        <v>0</v>
      </c>
    </row>
    <row r="59" spans="1:15" ht="15" customHeight="1" thickBot="1">
      <c r="A59" s="137" t="s">
        <v>193</v>
      </c>
      <c r="B59" s="138">
        <v>0.25</v>
      </c>
      <c r="C59" s="139">
        <f>$Q$12*B59</f>
        <v>3122.5</v>
      </c>
      <c r="D59" s="143">
        <f>J46</f>
        <v>10</v>
      </c>
      <c r="E59" s="141">
        <f>+D59*C59</f>
        <v>31225</v>
      </c>
      <c r="H59" s="360" t="s">
        <v>205</v>
      </c>
      <c r="I59" s="361"/>
      <c r="J59" s="291">
        <v>115</v>
      </c>
      <c r="K59" s="291">
        <v>70</v>
      </c>
      <c r="L59" s="291">
        <v>45</v>
      </c>
      <c r="M59" s="291">
        <v>0</v>
      </c>
    </row>
    <row r="60" spans="1:15" ht="15" customHeight="1">
      <c r="A60" s="142" t="s">
        <v>195</v>
      </c>
      <c r="B60" s="138">
        <v>0.75</v>
      </c>
      <c r="C60" s="139">
        <f>B60*Q12</f>
        <v>9367.5</v>
      </c>
      <c r="D60" s="143">
        <f>M46</f>
        <v>0</v>
      </c>
      <c r="E60" s="141">
        <f>+D60*C60</f>
        <v>0</v>
      </c>
    </row>
    <row r="61" spans="1:15" ht="15" customHeight="1" thickBot="1">
      <c r="A61" s="144"/>
      <c r="B61" s="145" t="s">
        <v>206</v>
      </c>
      <c r="C61" s="145"/>
      <c r="D61" s="145"/>
      <c r="E61" s="146">
        <f>E38+E39+E40+E41</f>
        <v>172540.9</v>
      </c>
    </row>
    <row r="62" spans="1:15" ht="39" customHeight="1">
      <c r="A62" s="108"/>
      <c r="B62" s="109"/>
      <c r="C62" s="109"/>
      <c r="D62" s="109"/>
      <c r="E62" s="110"/>
    </row>
  </sheetData>
  <sheetProtection sheet="1" objects="1" scenarios="1" selectLockedCells="1" selectUnlockedCells="1"/>
  <mergeCells count="28">
    <mergeCell ref="H57:I58"/>
    <mergeCell ref="J58:L58"/>
    <mergeCell ref="H59:I59"/>
    <mergeCell ref="J57:L57"/>
    <mergeCell ref="H34:J35"/>
    <mergeCell ref="H39:H40"/>
    <mergeCell ref="I39:I40"/>
    <mergeCell ref="H41:H42"/>
    <mergeCell ref="I41:I42"/>
    <mergeCell ref="H43:H44"/>
    <mergeCell ref="I43:I44"/>
    <mergeCell ref="H45:I46"/>
    <mergeCell ref="H47:I47"/>
    <mergeCell ref="H51:H52"/>
    <mergeCell ref="I51:I52"/>
    <mergeCell ref="H53:H54"/>
    <mergeCell ref="K55:L55"/>
    <mergeCell ref="I53:I54"/>
    <mergeCell ref="H55:H56"/>
    <mergeCell ref="I55:I56"/>
    <mergeCell ref="K56:L56"/>
    <mergeCell ref="J45:L45"/>
    <mergeCell ref="K44:L44"/>
    <mergeCell ref="J46:L46"/>
    <mergeCell ref="K43:L43"/>
    <mergeCell ref="A2:C2"/>
    <mergeCell ref="A3:C3"/>
    <mergeCell ref="A7:C7"/>
  </mergeCells>
  <pageMargins left="0.7" right="0.7" top="0.75" bottom="0.75" header="0.3" footer="0.3"/>
  <pageSetup paperSize="9" scale="46" orientation="landscape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X66"/>
  <sheetViews>
    <sheetView topLeftCell="A30" workbookViewId="0">
      <selection activeCell="G22" sqref="G22"/>
    </sheetView>
  </sheetViews>
  <sheetFormatPr defaultColWidth="11.42578125" defaultRowHeight="12.75"/>
  <cols>
    <col min="1" max="1" width="38.140625" bestFit="1" customWidth="1"/>
    <col min="2" max="2" width="16.5703125" customWidth="1"/>
    <col min="3" max="3" width="14.7109375" customWidth="1"/>
    <col min="4" max="7" width="11.42578125" customWidth="1"/>
    <col min="8" max="8" width="11.28515625" customWidth="1"/>
    <col min="9" max="10" width="12.140625" style="208" customWidth="1"/>
    <col min="11" max="11" width="15.7109375" style="208" customWidth="1"/>
    <col min="12" max="13" width="14.85546875" style="208" customWidth="1"/>
    <col min="14" max="14" width="11.7109375" bestFit="1" customWidth="1"/>
    <col min="15" max="17" width="11.7109375" customWidth="1"/>
    <col min="18" max="18" width="15.42578125" customWidth="1"/>
    <col min="19" max="19" width="15.28515625" customWidth="1"/>
    <col min="20" max="20" width="14.5703125" bestFit="1" customWidth="1"/>
    <col min="21" max="21" width="12.5703125" customWidth="1"/>
    <col min="22" max="22" width="13" customWidth="1"/>
    <col min="23" max="23" width="17.140625" customWidth="1"/>
    <col min="24" max="24" width="13.42578125" bestFit="1" customWidth="1"/>
  </cols>
  <sheetData>
    <row r="1" spans="1:13" ht="13.5" thickBot="1"/>
    <row r="2" spans="1:13" ht="15.75" thickBot="1">
      <c r="A2" s="370" t="s">
        <v>207</v>
      </c>
      <c r="B2" s="371"/>
      <c r="C2" s="372"/>
      <c r="I2"/>
      <c r="J2"/>
      <c r="K2"/>
      <c r="L2"/>
      <c r="M2"/>
    </row>
    <row r="3" spans="1:13" ht="13.9" customHeight="1" thickBot="1">
      <c r="I3"/>
      <c r="J3"/>
      <c r="K3"/>
      <c r="L3"/>
      <c r="M3"/>
    </row>
    <row r="4" spans="1:13" ht="75.75" thickBot="1">
      <c r="A4" s="225"/>
      <c r="B4" s="241" t="s">
        <v>208</v>
      </c>
      <c r="C4" s="242" t="s">
        <v>209</v>
      </c>
      <c r="D4" s="243" t="s">
        <v>210</v>
      </c>
      <c r="E4" s="243" t="s">
        <v>211</v>
      </c>
      <c r="F4" s="305"/>
      <c r="I4"/>
      <c r="J4"/>
      <c r="K4"/>
      <c r="L4"/>
      <c r="M4"/>
    </row>
    <row r="5" spans="1:13" ht="15.75" thickBot="1">
      <c r="A5" s="240" t="s">
        <v>212</v>
      </c>
      <c r="B5" s="238">
        <v>1.22</v>
      </c>
      <c r="C5" s="223">
        <v>1.22</v>
      </c>
      <c r="D5" s="373">
        <v>337</v>
      </c>
      <c r="E5" s="373">
        <v>167</v>
      </c>
      <c r="F5" s="306"/>
      <c r="I5"/>
      <c r="J5"/>
      <c r="K5"/>
      <c r="L5"/>
      <c r="M5"/>
    </row>
    <row r="6" spans="1:13" ht="15.75" thickBot="1">
      <c r="A6" s="240" t="s">
        <v>184</v>
      </c>
      <c r="B6" s="238">
        <v>2.2999999999999998</v>
      </c>
      <c r="C6" s="223">
        <v>2.2999999999999998</v>
      </c>
      <c r="D6" s="374"/>
      <c r="E6" s="374"/>
      <c r="F6" s="306"/>
      <c r="I6"/>
      <c r="J6"/>
      <c r="K6"/>
      <c r="L6"/>
      <c r="M6"/>
    </row>
    <row r="7" spans="1:13" ht="15.75" thickBot="1">
      <c r="A7" s="240" t="s">
        <v>213</v>
      </c>
      <c r="B7" s="238">
        <v>0.4</v>
      </c>
      <c r="C7" s="223">
        <v>0.2</v>
      </c>
      <c r="D7" s="374"/>
      <c r="E7" s="374"/>
      <c r="F7" s="306"/>
      <c r="I7"/>
      <c r="J7"/>
      <c r="K7"/>
      <c r="L7"/>
      <c r="M7"/>
    </row>
    <row r="8" spans="1:13" ht="15.75" thickBot="1">
      <c r="A8" s="240" t="s">
        <v>214</v>
      </c>
      <c r="B8" s="238">
        <v>0.4</v>
      </c>
      <c r="C8" s="223">
        <v>0.2</v>
      </c>
      <c r="D8" s="374"/>
      <c r="E8" s="374"/>
      <c r="F8" s="306"/>
      <c r="I8"/>
      <c r="J8"/>
      <c r="K8"/>
      <c r="L8"/>
      <c r="M8"/>
    </row>
    <row r="9" spans="1:13" ht="15.75" thickBot="1">
      <c r="A9" s="240" t="s">
        <v>215</v>
      </c>
      <c r="B9" s="238">
        <v>0.4</v>
      </c>
      <c r="C9" s="223">
        <v>0.2</v>
      </c>
      <c r="D9" s="374"/>
      <c r="E9" s="374"/>
      <c r="F9" s="306"/>
      <c r="I9"/>
      <c r="J9"/>
      <c r="K9"/>
      <c r="L9"/>
      <c r="M9"/>
    </row>
    <row r="10" spans="1:13" ht="15.75" thickBot="1">
      <c r="A10" s="240" t="s">
        <v>216</v>
      </c>
      <c r="B10" s="238">
        <v>0.4</v>
      </c>
      <c r="C10" s="223">
        <v>0.2</v>
      </c>
      <c r="D10" s="375"/>
      <c r="E10" s="375"/>
      <c r="F10" s="306"/>
      <c r="I10"/>
      <c r="J10"/>
      <c r="K10"/>
      <c r="L10"/>
      <c r="M10"/>
    </row>
    <row r="11" spans="1:13">
      <c r="I11"/>
      <c r="J11"/>
      <c r="K11"/>
      <c r="L11"/>
      <c r="M11"/>
    </row>
    <row r="12" spans="1:13" ht="13.5" thickBot="1">
      <c r="I12"/>
      <c r="J12"/>
      <c r="K12"/>
      <c r="L12"/>
      <c r="M12"/>
    </row>
    <row r="13" spans="1:13" ht="15.75" thickBot="1">
      <c r="A13" s="370" t="s">
        <v>217</v>
      </c>
      <c r="B13" s="371"/>
      <c r="C13" s="372"/>
      <c r="I13"/>
      <c r="J13"/>
      <c r="K13"/>
      <c r="L13"/>
      <c r="M13"/>
    </row>
    <row r="14" spans="1:13">
      <c r="I14"/>
      <c r="J14"/>
      <c r="K14"/>
      <c r="L14"/>
      <c r="M14"/>
    </row>
    <row r="15" spans="1:13" ht="13.5" thickBot="1">
      <c r="A15" t="s">
        <v>218</v>
      </c>
      <c r="I15"/>
      <c r="J15"/>
      <c r="K15"/>
      <c r="L15"/>
      <c r="M15"/>
    </row>
    <row r="16" spans="1:13" ht="15" customHeight="1">
      <c r="A16" s="376" t="s">
        <v>219</v>
      </c>
      <c r="B16" s="378" t="s">
        <v>220</v>
      </c>
      <c r="C16" s="378" t="s">
        <v>221</v>
      </c>
      <c r="I16"/>
      <c r="J16"/>
      <c r="K16"/>
      <c r="L16"/>
      <c r="M16"/>
    </row>
    <row r="17" spans="1:24" ht="27" customHeight="1" thickBot="1">
      <c r="A17" s="377"/>
      <c r="B17" s="379"/>
      <c r="C17" s="379"/>
      <c r="I17"/>
      <c r="J17"/>
      <c r="K17"/>
      <c r="L17"/>
      <c r="M17"/>
    </row>
    <row r="18" spans="1:24" ht="15.75" thickBot="1">
      <c r="A18" s="240" t="s">
        <v>214</v>
      </c>
      <c r="B18" s="222" t="s">
        <v>222</v>
      </c>
      <c r="C18" s="373">
        <v>11.82</v>
      </c>
      <c r="I18"/>
      <c r="J18"/>
      <c r="K18"/>
      <c r="L18"/>
      <c r="M18"/>
    </row>
    <row r="19" spans="1:24" ht="15.75" thickBot="1">
      <c r="A19" s="240" t="s">
        <v>215</v>
      </c>
      <c r="B19" s="222" t="s">
        <v>223</v>
      </c>
      <c r="C19" s="374"/>
      <c r="I19"/>
      <c r="J19"/>
      <c r="K19"/>
      <c r="L19"/>
      <c r="M19"/>
    </row>
    <row r="20" spans="1:24" ht="15.75" thickBot="1">
      <c r="A20" s="240" t="s">
        <v>224</v>
      </c>
      <c r="B20" s="222" t="s">
        <v>222</v>
      </c>
      <c r="C20" s="374"/>
      <c r="I20"/>
      <c r="J20"/>
      <c r="K20"/>
      <c r="L20"/>
      <c r="M20"/>
    </row>
    <row r="21" spans="1:24" ht="15.75" thickBot="1">
      <c r="A21" s="240" t="s">
        <v>212</v>
      </c>
      <c r="B21" s="222" t="s">
        <v>223</v>
      </c>
      <c r="C21" s="375"/>
      <c r="I21"/>
      <c r="J21"/>
      <c r="K21"/>
      <c r="L21"/>
      <c r="M21"/>
    </row>
    <row r="22" spans="1:24" ht="15" thickBot="1">
      <c r="A22" s="380" t="s">
        <v>184</v>
      </c>
      <c r="B22" s="222">
        <v>120</v>
      </c>
      <c r="C22" s="223">
        <v>12.73</v>
      </c>
      <c r="I22"/>
      <c r="J22"/>
      <c r="K22"/>
      <c r="L22"/>
      <c r="M22"/>
    </row>
    <row r="23" spans="1:24" ht="15" thickBot="1">
      <c r="A23" s="381"/>
      <c r="B23" s="222">
        <v>240</v>
      </c>
      <c r="C23" s="223">
        <v>14.55</v>
      </c>
      <c r="I23"/>
      <c r="J23"/>
      <c r="K23"/>
      <c r="L23"/>
      <c r="M23"/>
    </row>
    <row r="24" spans="1:24" ht="15" thickBot="1">
      <c r="A24" s="381"/>
      <c r="B24" s="222">
        <v>360</v>
      </c>
      <c r="C24" s="223">
        <v>16.36</v>
      </c>
      <c r="I24"/>
      <c r="J24"/>
      <c r="K24"/>
      <c r="L24"/>
      <c r="M24"/>
    </row>
    <row r="25" spans="1:24" ht="15" thickBot="1">
      <c r="A25" s="382"/>
      <c r="B25" s="224">
        <v>1100</v>
      </c>
      <c r="C25" s="223">
        <v>27.27</v>
      </c>
      <c r="I25"/>
      <c r="J25"/>
      <c r="K25"/>
      <c r="L25"/>
      <c r="M25"/>
    </row>
    <row r="28" spans="1:24" ht="13.5" thickBot="1"/>
    <row r="29" spans="1:24" ht="37.5" thickBot="1">
      <c r="A29" s="370" t="s">
        <v>146</v>
      </c>
      <c r="B29" s="371"/>
      <c r="C29" s="372"/>
      <c r="D29" s="207"/>
      <c r="E29" s="207"/>
      <c r="F29" s="207"/>
      <c r="G29" s="207"/>
      <c r="W29" s="209" t="s">
        <v>225</v>
      </c>
      <c r="X29" s="217">
        <v>438790.31000000262</v>
      </c>
    </row>
    <row r="30" spans="1:24">
      <c r="B30" s="37"/>
      <c r="C30" s="37"/>
      <c r="D30" s="37"/>
      <c r="E30" s="37"/>
      <c r="F30" s="37"/>
      <c r="G30" s="37"/>
      <c r="H30" s="37"/>
    </row>
    <row r="32" spans="1:24" ht="56.25">
      <c r="A32" s="250"/>
      <c r="B32" s="284" t="s">
        <v>226</v>
      </c>
      <c r="C32" s="284" t="s">
        <v>227</v>
      </c>
      <c r="D32" s="251" t="s">
        <v>228</v>
      </c>
      <c r="E32" s="274" t="s">
        <v>229</v>
      </c>
      <c r="F32" s="274"/>
      <c r="G32" s="274" t="s">
        <v>230</v>
      </c>
      <c r="H32" s="251" t="s">
        <v>231</v>
      </c>
      <c r="I32" s="251" t="s">
        <v>232</v>
      </c>
      <c r="J32" s="251" t="s">
        <v>233</v>
      </c>
      <c r="K32"/>
      <c r="L32"/>
      <c r="M32"/>
      <c r="O32" s="251" t="s">
        <v>234</v>
      </c>
      <c r="P32" s="252">
        <v>167</v>
      </c>
    </row>
    <row r="33" spans="1:16" ht="33.75">
      <c r="A33" s="253" t="s">
        <v>235</v>
      </c>
      <c r="B33" s="303">
        <v>4</v>
      </c>
      <c r="C33" s="273">
        <v>122</v>
      </c>
      <c r="D33" s="273">
        <v>17693</v>
      </c>
      <c r="E33" s="273">
        <v>5843.5999999999985</v>
      </c>
      <c r="F33" s="273"/>
      <c r="G33" s="273">
        <f>D33+E33</f>
        <v>23536.6</v>
      </c>
      <c r="H33" s="273">
        <f>B33*$P$33</f>
        <v>1348</v>
      </c>
      <c r="I33" s="273">
        <v>20374</v>
      </c>
      <c r="J33" s="254">
        <f>SUM(G33:I33)</f>
        <v>45258.6</v>
      </c>
      <c r="K33" s="255"/>
      <c r="L33"/>
      <c r="M33"/>
      <c r="O33" s="251" t="s">
        <v>236</v>
      </c>
      <c r="P33" s="252">
        <v>337</v>
      </c>
    </row>
    <row r="34" spans="1:16">
      <c r="A34" s="253" t="s">
        <v>237</v>
      </c>
      <c r="B34" s="303">
        <v>5</v>
      </c>
      <c r="C34" s="273">
        <v>81</v>
      </c>
      <c r="D34" s="273">
        <v>55069.4</v>
      </c>
      <c r="E34" s="273">
        <v>10748.2</v>
      </c>
      <c r="F34" s="273"/>
      <c r="G34" s="273">
        <f t="shared" ref="G34:G48" si="0">D34+E34</f>
        <v>65817.600000000006</v>
      </c>
      <c r="H34" s="273">
        <f t="shared" ref="H34:H47" si="1">B34*$P$33</f>
        <v>1685</v>
      </c>
      <c r="I34" s="273">
        <v>13527</v>
      </c>
      <c r="J34" s="254">
        <f>SUM(G34:I34)</f>
        <v>81029.600000000006</v>
      </c>
      <c r="K34" s="255"/>
      <c r="L34"/>
      <c r="M34"/>
      <c r="O34" s="256"/>
    </row>
    <row r="35" spans="1:16">
      <c r="A35" s="253" t="s">
        <v>238</v>
      </c>
      <c r="B35" s="303"/>
      <c r="C35" s="273"/>
      <c r="D35" s="273"/>
      <c r="E35" s="273"/>
      <c r="F35" s="273"/>
      <c r="G35" s="273">
        <f t="shared" si="0"/>
        <v>0</v>
      </c>
      <c r="H35" s="273"/>
      <c r="I35" s="273"/>
      <c r="J35" s="254"/>
      <c r="K35" s="255"/>
      <c r="L35"/>
      <c r="M35"/>
      <c r="O35" s="256"/>
    </row>
    <row r="36" spans="1:16">
      <c r="A36" s="253" t="s">
        <v>100</v>
      </c>
      <c r="B36" s="303">
        <v>4</v>
      </c>
      <c r="C36" s="273">
        <v>14</v>
      </c>
      <c r="D36" s="273">
        <v>12597.2</v>
      </c>
      <c r="E36" s="273">
        <v>3151.2</v>
      </c>
      <c r="F36" s="273"/>
      <c r="G36" s="273">
        <f t="shared" si="0"/>
        <v>15748.400000000001</v>
      </c>
      <c r="H36" s="273">
        <f t="shared" si="1"/>
        <v>1348</v>
      </c>
      <c r="I36" s="273">
        <v>2338</v>
      </c>
      <c r="J36" s="254">
        <f t="shared" ref="J36:J45" si="2">SUM(G36:I36)</f>
        <v>19434.400000000001</v>
      </c>
      <c r="K36" s="255"/>
      <c r="L36"/>
      <c r="M36"/>
    </row>
    <row r="37" spans="1:16">
      <c r="A37" s="253" t="s">
        <v>101</v>
      </c>
      <c r="B37" s="303">
        <v>0</v>
      </c>
      <c r="C37" s="273">
        <v>70</v>
      </c>
      <c r="D37" s="273">
        <v>18693.400000000001</v>
      </c>
      <c r="E37" s="273">
        <v>2311.1999999999998</v>
      </c>
      <c r="F37" s="273"/>
      <c r="G37" s="273">
        <f t="shared" si="0"/>
        <v>21004.600000000002</v>
      </c>
      <c r="H37" s="273">
        <f t="shared" si="1"/>
        <v>0</v>
      </c>
      <c r="I37" s="273">
        <v>11690</v>
      </c>
      <c r="J37" s="254">
        <f t="shared" si="2"/>
        <v>32694.600000000002</v>
      </c>
      <c r="K37" s="255"/>
      <c r="L37"/>
      <c r="M37"/>
      <c r="O37" s="255"/>
    </row>
    <row r="38" spans="1:16">
      <c r="A38" s="253" t="s">
        <v>239</v>
      </c>
      <c r="B38" s="303">
        <v>2</v>
      </c>
      <c r="C38" s="273">
        <v>4</v>
      </c>
      <c r="D38" s="273">
        <v>7946.1999999999989</v>
      </c>
      <c r="E38" s="273">
        <v>2749.7999999999997</v>
      </c>
      <c r="F38" s="273"/>
      <c r="G38" s="273">
        <f t="shared" si="0"/>
        <v>10695.999999999998</v>
      </c>
      <c r="H38" s="273">
        <f t="shared" si="1"/>
        <v>674</v>
      </c>
      <c r="I38" s="273">
        <v>668</v>
      </c>
      <c r="J38" s="254">
        <f t="shared" si="2"/>
        <v>12037.999999999998</v>
      </c>
      <c r="K38" s="255"/>
      <c r="L38"/>
      <c r="M38"/>
      <c r="O38" s="255"/>
    </row>
    <row r="39" spans="1:16">
      <c r="A39" s="253" t="s">
        <v>103</v>
      </c>
      <c r="B39" s="303">
        <v>1</v>
      </c>
      <c r="C39" s="273">
        <v>3</v>
      </c>
      <c r="D39" s="273">
        <v>10996.6</v>
      </c>
      <c r="E39" s="273">
        <v>2309.2000000000003</v>
      </c>
      <c r="F39" s="273"/>
      <c r="G39" s="273">
        <f t="shared" si="0"/>
        <v>13305.800000000001</v>
      </c>
      <c r="H39" s="273">
        <v>0</v>
      </c>
      <c r="I39" s="273">
        <v>501</v>
      </c>
      <c r="J39" s="254">
        <f t="shared" si="2"/>
        <v>13806.800000000001</v>
      </c>
      <c r="K39" s="257"/>
      <c r="L39"/>
      <c r="M39"/>
      <c r="O39" s="255"/>
    </row>
    <row r="40" spans="1:16">
      <c r="A40" s="253" t="s">
        <v>104</v>
      </c>
      <c r="B40" s="303">
        <v>0</v>
      </c>
      <c r="C40" s="273">
        <v>130</v>
      </c>
      <c r="D40" s="273">
        <v>5390.2</v>
      </c>
      <c r="E40" s="273">
        <v>7462.2000000000007</v>
      </c>
      <c r="F40" s="273"/>
      <c r="G40" s="273">
        <f t="shared" si="0"/>
        <v>12852.400000000001</v>
      </c>
      <c r="H40" s="273">
        <f t="shared" si="1"/>
        <v>0</v>
      </c>
      <c r="I40" s="273">
        <v>21710</v>
      </c>
      <c r="J40" s="254">
        <f t="shared" si="2"/>
        <v>34562.400000000001</v>
      </c>
      <c r="K40" s="258"/>
      <c r="L40"/>
      <c r="M40"/>
      <c r="O40" s="258"/>
    </row>
    <row r="41" spans="1:16">
      <c r="A41" s="253" t="s">
        <v>105</v>
      </c>
      <c r="B41" s="303">
        <v>0</v>
      </c>
      <c r="C41" s="273">
        <v>4</v>
      </c>
      <c r="D41" s="273">
        <v>4712.8</v>
      </c>
      <c r="E41" s="273">
        <v>334</v>
      </c>
      <c r="F41" s="273"/>
      <c r="G41" s="273">
        <f t="shared" si="0"/>
        <v>5046.8</v>
      </c>
      <c r="H41" s="273">
        <f t="shared" si="1"/>
        <v>0</v>
      </c>
      <c r="I41" s="273">
        <v>668</v>
      </c>
      <c r="J41" s="254">
        <f t="shared" si="2"/>
        <v>5714.8</v>
      </c>
      <c r="K41" s="255"/>
      <c r="L41"/>
      <c r="M41"/>
      <c r="O41" s="255"/>
    </row>
    <row r="42" spans="1:16">
      <c r="A42" s="253" t="s">
        <v>107</v>
      </c>
      <c r="B42" s="303">
        <v>8</v>
      </c>
      <c r="C42" s="273">
        <v>68</v>
      </c>
      <c r="D42" s="273">
        <v>28845.000000000007</v>
      </c>
      <c r="E42" s="273">
        <v>11231.8</v>
      </c>
      <c r="F42" s="273"/>
      <c r="G42" s="273">
        <f t="shared" si="0"/>
        <v>40076.800000000003</v>
      </c>
      <c r="H42" s="273">
        <f t="shared" si="1"/>
        <v>2696</v>
      </c>
      <c r="I42" s="273">
        <v>11356</v>
      </c>
      <c r="J42" s="254">
        <f t="shared" si="2"/>
        <v>54128.800000000003</v>
      </c>
      <c r="K42" s="260"/>
      <c r="L42"/>
      <c r="M42"/>
      <c r="O42" s="260"/>
    </row>
    <row r="43" spans="1:16">
      <c r="A43" s="253" t="s">
        <v>108</v>
      </c>
      <c r="B43" s="303">
        <v>7</v>
      </c>
      <c r="C43" s="273">
        <v>52</v>
      </c>
      <c r="D43" s="273">
        <v>59552.200000000041</v>
      </c>
      <c r="E43" s="273">
        <v>9826.8000000000011</v>
      </c>
      <c r="F43" s="273"/>
      <c r="G43" s="273">
        <f t="shared" si="0"/>
        <v>69379.000000000044</v>
      </c>
      <c r="H43" s="273">
        <v>2696</v>
      </c>
      <c r="I43" s="273">
        <v>8684</v>
      </c>
      <c r="J43" s="254">
        <f t="shared" si="2"/>
        <v>80759.000000000044</v>
      </c>
      <c r="K43" s="258"/>
      <c r="L43"/>
      <c r="M43"/>
      <c r="O43" s="255"/>
    </row>
    <row r="44" spans="1:16">
      <c r="A44" s="253" t="s">
        <v>109</v>
      </c>
      <c r="B44" s="303">
        <v>0</v>
      </c>
      <c r="C44" s="273">
        <v>4</v>
      </c>
      <c r="D44" s="273">
        <v>1443.6</v>
      </c>
      <c r="E44" s="273">
        <v>922.4</v>
      </c>
      <c r="F44" s="273"/>
      <c r="G44" s="273">
        <f t="shared" si="0"/>
        <v>2366</v>
      </c>
      <c r="H44" s="273">
        <f t="shared" si="1"/>
        <v>0</v>
      </c>
      <c r="I44" s="273">
        <v>668</v>
      </c>
      <c r="J44" s="254">
        <f t="shared" si="2"/>
        <v>3034</v>
      </c>
      <c r="K44" s="258"/>
      <c r="L44"/>
      <c r="M44"/>
      <c r="O44" s="255"/>
    </row>
    <row r="45" spans="1:16">
      <c r="A45" s="253" t="s">
        <v>240</v>
      </c>
      <c r="B45" s="303">
        <v>2</v>
      </c>
      <c r="C45" s="273">
        <v>44</v>
      </c>
      <c r="D45" s="273">
        <v>36378.200000000004</v>
      </c>
      <c r="E45" s="273">
        <v>8144.4000000000005</v>
      </c>
      <c r="F45" s="273"/>
      <c r="G45" s="273">
        <f t="shared" si="0"/>
        <v>44522.600000000006</v>
      </c>
      <c r="H45" s="273">
        <f t="shared" si="1"/>
        <v>674</v>
      </c>
      <c r="I45" s="273">
        <v>7348</v>
      </c>
      <c r="J45" s="254">
        <f t="shared" si="2"/>
        <v>52544.600000000006</v>
      </c>
      <c r="K45" s="255"/>
      <c r="L45"/>
      <c r="M45"/>
      <c r="O45" s="255"/>
    </row>
    <row r="46" spans="1:16">
      <c r="A46" s="253" t="s">
        <v>241</v>
      </c>
      <c r="B46" s="303"/>
      <c r="C46" s="273"/>
      <c r="D46" s="273"/>
      <c r="E46" s="273"/>
      <c r="F46" s="273"/>
      <c r="G46" s="273">
        <f t="shared" si="0"/>
        <v>0</v>
      </c>
      <c r="H46" s="273"/>
      <c r="I46" s="273"/>
      <c r="J46" s="254"/>
      <c r="K46" s="255"/>
      <c r="L46"/>
      <c r="M46"/>
      <c r="O46" s="255"/>
    </row>
    <row r="47" spans="1:16" ht="13.5" thickBot="1">
      <c r="A47" s="253" t="s">
        <v>242</v>
      </c>
      <c r="B47" s="303">
        <v>1</v>
      </c>
      <c r="C47" s="273">
        <v>77</v>
      </c>
      <c r="D47" s="273">
        <v>59765.000000000036</v>
      </c>
      <c r="E47" s="273">
        <v>18827.8</v>
      </c>
      <c r="F47" s="273"/>
      <c r="G47" s="273">
        <f t="shared" si="0"/>
        <v>78592.800000000032</v>
      </c>
      <c r="H47" s="273">
        <f t="shared" si="1"/>
        <v>337</v>
      </c>
      <c r="I47" s="273">
        <v>12859</v>
      </c>
      <c r="J47" s="254">
        <f>SUM(G47:I47)</f>
        <v>91788.800000000032</v>
      </c>
      <c r="K47" s="255"/>
      <c r="L47"/>
      <c r="M47"/>
      <c r="O47" s="261"/>
    </row>
    <row r="48" spans="1:16" ht="13.5" thickBot="1">
      <c r="A48" s="276"/>
      <c r="B48" s="304">
        <f>SUM(B33:B47)</f>
        <v>34</v>
      </c>
      <c r="C48" s="259">
        <f t="shared" ref="C48:J48" si="3">SUM(C33:C47)</f>
        <v>673</v>
      </c>
      <c r="D48" s="259">
        <f t="shared" si="3"/>
        <v>319082.8000000001</v>
      </c>
      <c r="E48" s="259">
        <f>SUM(E33:E47)</f>
        <v>83862.600000000006</v>
      </c>
      <c r="F48" s="259"/>
      <c r="G48" s="259">
        <f t="shared" si="0"/>
        <v>402945.40000000014</v>
      </c>
      <c r="H48" s="259">
        <f t="shared" si="3"/>
        <v>11458</v>
      </c>
      <c r="I48" s="259">
        <f t="shared" si="3"/>
        <v>112391</v>
      </c>
      <c r="J48" s="279">
        <f t="shared" si="3"/>
        <v>526794.40000000014</v>
      </c>
      <c r="K48" s="271"/>
      <c r="L48"/>
      <c r="M48"/>
      <c r="O48" s="261"/>
    </row>
    <row r="49" spans="1:22">
      <c r="A49" s="261"/>
      <c r="B49" s="261"/>
      <c r="C49" s="276"/>
      <c r="D49" s="272"/>
      <c r="E49" s="17"/>
      <c r="F49" s="17"/>
      <c r="I49"/>
      <c r="J49"/>
      <c r="K49"/>
      <c r="L49"/>
      <c r="M49"/>
    </row>
    <row r="50" spans="1:22">
      <c r="A50" s="276"/>
      <c r="B50" s="276"/>
      <c r="C50" s="276"/>
      <c r="D50" s="276"/>
      <c r="G50" s="17"/>
      <c r="H50" s="17"/>
      <c r="J50"/>
      <c r="K50"/>
      <c r="L50"/>
      <c r="M50"/>
    </row>
    <row r="51" spans="1:22">
      <c r="A51" s="276"/>
      <c r="B51" s="276"/>
      <c r="C51" s="276"/>
      <c r="D51" s="276"/>
      <c r="G51" s="17"/>
      <c r="H51" s="17"/>
      <c r="J51"/>
      <c r="K51"/>
      <c r="L51"/>
      <c r="M51"/>
    </row>
    <row r="52" spans="1:22">
      <c r="A52" s="276"/>
      <c r="B52" s="276"/>
      <c r="C52" s="276"/>
      <c r="D52" s="276"/>
      <c r="J52"/>
      <c r="K52"/>
      <c r="L52"/>
      <c r="M52"/>
    </row>
    <row r="53" spans="1:22">
      <c r="A53" s="276"/>
      <c r="B53" s="276"/>
      <c r="C53" s="276"/>
      <c r="D53" s="276"/>
      <c r="J53"/>
      <c r="K53"/>
      <c r="L53"/>
      <c r="M53"/>
    </row>
    <row r="54" spans="1:22">
      <c r="A54" s="276"/>
      <c r="B54" s="276"/>
      <c r="C54" s="276"/>
      <c r="D54" s="276"/>
      <c r="E54" s="17"/>
      <c r="F54" s="17"/>
      <c r="J54"/>
      <c r="K54"/>
      <c r="L54"/>
      <c r="M54"/>
    </row>
    <row r="55" spans="1:22">
      <c r="B55" s="208"/>
      <c r="C55" s="208"/>
      <c r="D55" s="208"/>
      <c r="E55" s="208"/>
      <c r="F55" s="208"/>
      <c r="G55" s="208"/>
      <c r="H55" s="276"/>
      <c r="I55" s="276"/>
      <c r="J55" s="276"/>
      <c r="K55" s="276"/>
      <c r="L55" s="276"/>
      <c r="M55"/>
      <c r="P55" s="208"/>
    </row>
    <row r="56" spans="1:22">
      <c r="N56" s="276"/>
      <c r="O56" s="276"/>
      <c r="P56" s="276"/>
      <c r="Q56" s="276"/>
      <c r="R56" s="276"/>
      <c r="S56" s="210"/>
      <c r="T56" s="210"/>
      <c r="U56" s="262"/>
      <c r="V56" s="208"/>
    </row>
    <row r="57" spans="1:22" ht="13.5" thickBot="1">
      <c r="N57" s="276"/>
      <c r="O57" s="276"/>
      <c r="P57" s="276"/>
      <c r="Q57" s="276"/>
      <c r="R57" s="276"/>
      <c r="S57" s="210"/>
      <c r="T57" s="210"/>
      <c r="U57" s="263"/>
    </row>
    <row r="58" spans="1:22" ht="15.75" thickBot="1">
      <c r="A58" s="370" t="s">
        <v>157</v>
      </c>
      <c r="B58" s="371"/>
      <c r="C58" s="372"/>
      <c r="N58" s="276"/>
      <c r="O58" s="276"/>
      <c r="P58" s="276"/>
      <c r="Q58" s="276"/>
      <c r="R58" s="276"/>
      <c r="S58" s="210"/>
      <c r="T58" s="210"/>
      <c r="U58" s="263"/>
    </row>
    <row r="59" spans="1:22">
      <c r="N59" s="276"/>
      <c r="O59" s="276"/>
      <c r="P59" s="276"/>
      <c r="Q59" s="276"/>
      <c r="R59" s="276"/>
      <c r="S59" s="210"/>
      <c r="T59" s="210"/>
      <c r="U59" s="263"/>
    </row>
    <row r="60" spans="1:22">
      <c r="A60" s="277" t="s">
        <v>243</v>
      </c>
      <c r="B60" s="280">
        <v>7019.3</v>
      </c>
      <c r="N60" s="276"/>
      <c r="O60" s="276"/>
      <c r="P60" s="276"/>
      <c r="Q60" s="276"/>
      <c r="R60" s="276"/>
    </row>
    <row r="61" spans="1:22">
      <c r="A61" s="277" t="s">
        <v>244</v>
      </c>
      <c r="B61" s="280">
        <v>3119.68</v>
      </c>
      <c r="N61" s="276"/>
      <c r="O61" s="276"/>
      <c r="P61" s="276"/>
      <c r="Q61" s="276"/>
      <c r="R61" s="276"/>
    </row>
    <row r="62" spans="1:22" ht="13.5" thickBot="1">
      <c r="A62" s="277" t="s">
        <v>245</v>
      </c>
      <c r="B62" s="280">
        <v>2496.7800000000002</v>
      </c>
      <c r="N62" s="276"/>
      <c r="O62" s="276"/>
      <c r="P62" s="276"/>
      <c r="Q62" s="276"/>
      <c r="R62" s="276"/>
    </row>
    <row r="63" spans="1:22" ht="13.5" thickBot="1">
      <c r="A63" s="277"/>
      <c r="B63" s="278">
        <f>SUM(B60:B62)</f>
        <v>12635.76</v>
      </c>
      <c r="N63" s="276"/>
      <c r="O63" s="276"/>
      <c r="P63" s="276"/>
      <c r="Q63" s="276"/>
      <c r="R63" s="276"/>
    </row>
    <row r="64" spans="1:22">
      <c r="A64" s="277"/>
      <c r="N64" s="276"/>
      <c r="O64" s="276"/>
      <c r="P64" s="276"/>
      <c r="Q64" s="276"/>
      <c r="R64" s="276"/>
    </row>
    <row r="65" spans="14:18">
      <c r="N65" s="17"/>
      <c r="O65" s="17"/>
      <c r="P65" s="17"/>
      <c r="Q65" s="17"/>
      <c r="R65" s="17"/>
    </row>
    <row r="66" spans="14:18">
      <c r="N66" s="17"/>
      <c r="O66" s="17"/>
      <c r="P66" s="17"/>
      <c r="Q66" s="17"/>
      <c r="R66" s="17"/>
    </row>
  </sheetData>
  <sheetProtection sheet="1" objects="1" scenarios="1" selectLockedCells="1" selectUnlockedCells="1"/>
  <mergeCells count="11">
    <mergeCell ref="A58:C58"/>
    <mergeCell ref="A29:C29"/>
    <mergeCell ref="A2:C2"/>
    <mergeCell ref="D5:D10"/>
    <mergeCell ref="E5:E10"/>
    <mergeCell ref="A13:C13"/>
    <mergeCell ref="A16:A17"/>
    <mergeCell ref="B16:B17"/>
    <mergeCell ref="C18:C21"/>
    <mergeCell ref="A22:A25"/>
    <mergeCell ref="C16:C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499984740745262"/>
  </sheetPr>
  <dimension ref="A1:HC63"/>
  <sheetViews>
    <sheetView tabSelected="1" topLeftCell="A46" workbookViewId="0">
      <selection activeCell="Q71" sqref="Q71"/>
    </sheetView>
  </sheetViews>
  <sheetFormatPr defaultColWidth="11.42578125" defaultRowHeight="12.75"/>
  <cols>
    <col min="1" max="1" width="23.85546875" customWidth="1"/>
    <col min="2" max="2" width="36" bestFit="1" customWidth="1"/>
    <col min="3" max="3" width="16.42578125" hidden="1" customWidth="1"/>
    <col min="4" max="4" width="15.28515625" hidden="1" customWidth="1"/>
    <col min="5" max="5" width="13.85546875" hidden="1" customWidth="1"/>
    <col min="6" max="6" width="15" hidden="1" customWidth="1"/>
    <col min="7" max="7" width="15.140625" hidden="1" customWidth="1"/>
    <col min="8" max="8" width="14.85546875" hidden="1" customWidth="1"/>
    <col min="9" max="10" width="14.5703125" hidden="1" customWidth="1"/>
    <col min="11" max="11" width="15" hidden="1" customWidth="1"/>
    <col min="12" max="12" width="13" hidden="1" customWidth="1"/>
    <col min="13" max="13" width="13.42578125" hidden="1" customWidth="1"/>
    <col min="14" max="14" width="14.5703125" hidden="1" customWidth="1"/>
    <col min="15" max="15" width="13.5703125" hidden="1" customWidth="1"/>
    <col min="16" max="16" width="15.28515625" hidden="1" customWidth="1"/>
    <col min="17" max="17" width="14.42578125" bestFit="1" customWidth="1"/>
    <col min="18" max="20" width="15.140625" customWidth="1"/>
    <col min="21" max="21" width="21.5703125" customWidth="1"/>
    <col min="22" max="22" width="1.28515625" customWidth="1"/>
  </cols>
  <sheetData>
    <row r="1" spans="3:22" ht="15" hidden="1" customHeight="1">
      <c r="D1" s="334" t="s">
        <v>79</v>
      </c>
      <c r="E1" s="334"/>
      <c r="F1" s="334"/>
      <c r="G1" s="334"/>
      <c r="P1">
        <f>511/365</f>
        <v>1.4</v>
      </c>
    </row>
    <row r="2" spans="3:22" ht="15" hidden="1" customHeight="1">
      <c r="D2" s="5" t="s">
        <v>80</v>
      </c>
      <c r="E2" s="5" t="s">
        <v>80</v>
      </c>
      <c r="F2" s="5" t="s">
        <v>80</v>
      </c>
      <c r="G2" s="5" t="s">
        <v>80</v>
      </c>
      <c r="H2" s="48" t="s">
        <v>81</v>
      </c>
      <c r="I2" s="335" t="s">
        <v>82</v>
      </c>
      <c r="J2" s="336"/>
      <c r="K2" s="336"/>
      <c r="L2" s="337"/>
      <c r="M2" s="5" t="s">
        <v>80</v>
      </c>
      <c r="N2" s="5"/>
      <c r="O2" s="5"/>
      <c r="U2" s="387" t="s">
        <v>246</v>
      </c>
      <c r="V2" s="387"/>
    </row>
    <row r="3" spans="3:22" ht="33.75" hidden="1" customHeight="1">
      <c r="C3" s="2" t="s">
        <v>83</v>
      </c>
      <c r="D3" s="6" t="s">
        <v>84</v>
      </c>
      <c r="E3" s="6" t="s">
        <v>85</v>
      </c>
      <c r="F3" s="6" t="s">
        <v>86</v>
      </c>
      <c r="G3" s="6" t="s">
        <v>87</v>
      </c>
      <c r="H3" s="6" t="s">
        <v>88</v>
      </c>
      <c r="I3" s="24" t="s">
        <v>89</v>
      </c>
      <c r="J3" s="24" t="s">
        <v>90</v>
      </c>
      <c r="K3" s="24" t="s">
        <v>247</v>
      </c>
      <c r="L3" s="24" t="s">
        <v>91</v>
      </c>
      <c r="M3" s="6" t="s">
        <v>92</v>
      </c>
      <c r="N3" s="6" t="s">
        <v>18</v>
      </c>
      <c r="O3" s="7" t="s">
        <v>93</v>
      </c>
      <c r="P3" s="28" t="s">
        <v>94</v>
      </c>
      <c r="Q3" s="28" t="s">
        <v>95</v>
      </c>
      <c r="R3" s="28" t="s">
        <v>248</v>
      </c>
      <c r="S3" s="28"/>
      <c r="T3" s="28"/>
      <c r="U3" s="6" t="s">
        <v>249</v>
      </c>
      <c r="V3" s="6" t="s">
        <v>250</v>
      </c>
    </row>
    <row r="4" spans="3:22" ht="12.75" hidden="1" customHeight="1">
      <c r="C4" s="8" t="s">
        <v>97</v>
      </c>
      <c r="D4" s="54">
        <v>108.57818181818183</v>
      </c>
      <c r="E4" s="54">
        <v>37.399636363636368</v>
      </c>
      <c r="F4" s="54">
        <v>27.587999999999997</v>
      </c>
      <c r="G4" s="54">
        <v>31.001708686755759</v>
      </c>
      <c r="H4" s="55">
        <v>175</v>
      </c>
      <c r="I4" s="54">
        <v>11.465</v>
      </c>
      <c r="J4" s="54">
        <v>4.056</v>
      </c>
      <c r="K4" s="54">
        <v>0.2223</v>
      </c>
      <c r="L4" s="18"/>
      <c r="M4" s="9">
        <v>52.210909090909091</v>
      </c>
      <c r="N4" s="9">
        <f>SUM(D4:M4)</f>
        <v>447.52173595948301</v>
      </c>
      <c r="O4" s="20">
        <f>SUM(D4:L4)/N4</f>
        <v>0.88333324418540404</v>
      </c>
      <c r="P4" s="25">
        <f t="shared" ref="P4:P18" si="0">U4*1000/V4/365</f>
        <v>1.5221626126360748</v>
      </c>
      <c r="Q4" s="25" t="e">
        <f>N4*1000/#REF!/365</f>
        <v>#REF!</v>
      </c>
      <c r="R4" s="20" t="e">
        <f t="shared" ref="R4:R17" si="1">(Q4-P4)/P4</f>
        <v>#REF!</v>
      </c>
      <c r="S4" s="20"/>
      <c r="T4" s="20"/>
      <c r="U4" s="9" t="s">
        <v>251</v>
      </c>
      <c r="V4" s="26">
        <v>789</v>
      </c>
    </row>
    <row r="5" spans="3:22" ht="15" hidden="1" customHeight="1">
      <c r="C5" s="8" t="s">
        <v>98</v>
      </c>
      <c r="D5" s="54">
        <v>512.34872727272727</v>
      </c>
      <c r="E5" s="54">
        <v>189.8607272727273</v>
      </c>
      <c r="F5" s="54">
        <v>138.2738181818182</v>
      </c>
      <c r="G5" s="54">
        <v>119.64643951291725</v>
      </c>
      <c r="H5" s="54">
        <v>56.948182266704194</v>
      </c>
      <c r="I5" s="54">
        <v>50.390999999999998</v>
      </c>
      <c r="J5" s="54">
        <v>17.555</v>
      </c>
      <c r="K5" s="54">
        <v>1.1412</v>
      </c>
      <c r="L5" s="18"/>
      <c r="M5" s="9">
        <v>303.25963636363645</v>
      </c>
      <c r="N5" s="9">
        <f t="shared" ref="N5:N16" si="2">SUM(D5:M5)</f>
        <v>1389.4247308705308</v>
      </c>
      <c r="O5" s="20">
        <f t="shared" ref="O5:O17" si="3">SUM(D5:L5)/N5</f>
        <v>0.78173726893889961</v>
      </c>
      <c r="P5" s="25">
        <f t="shared" si="0"/>
        <v>1.3028381496361554</v>
      </c>
      <c r="Q5" s="25" t="e">
        <f>N5*1000/#REF!/365</f>
        <v>#REF!</v>
      </c>
      <c r="R5" s="20" t="e">
        <f t="shared" si="1"/>
        <v>#REF!</v>
      </c>
      <c r="S5" s="20"/>
      <c r="T5" s="20"/>
      <c r="U5" s="9">
        <v>2422.38</v>
      </c>
      <c r="V5" s="26">
        <v>5094</v>
      </c>
    </row>
    <row r="6" spans="3:22" ht="12.75" hidden="1" customHeight="1">
      <c r="C6" s="8" t="s">
        <v>100</v>
      </c>
      <c r="D6" s="54">
        <v>194.64654545454547</v>
      </c>
      <c r="E6" s="54">
        <v>66.98181818181817</v>
      </c>
      <c r="F6" s="54">
        <v>40.470545454545444</v>
      </c>
      <c r="G6" s="54">
        <v>37.25642197918728</v>
      </c>
      <c r="H6" s="54">
        <v>32.79466500429313</v>
      </c>
      <c r="I6" s="54">
        <v>33.658999999999999</v>
      </c>
      <c r="J6" s="54">
        <v>5.1669999999999998</v>
      </c>
      <c r="K6" s="54">
        <v>0.23580000000000001</v>
      </c>
      <c r="L6" s="9">
        <v>164.62</v>
      </c>
      <c r="M6" s="9">
        <v>48.614181818181812</v>
      </c>
      <c r="N6" s="9">
        <f t="shared" si="2"/>
        <v>624.44597789257125</v>
      </c>
      <c r="O6" s="20">
        <f t="shared" si="3"/>
        <v>0.92214829858901692</v>
      </c>
      <c r="P6" s="25">
        <f t="shared" si="0"/>
        <v>1.110077188272264</v>
      </c>
      <c r="Q6" s="25" t="e">
        <f>N6*1000/#REF!/365</f>
        <v>#REF!</v>
      </c>
      <c r="R6" s="20" t="e">
        <f t="shared" si="1"/>
        <v>#REF!</v>
      </c>
      <c r="S6" s="20"/>
      <c r="T6" s="20"/>
      <c r="U6" s="9">
        <v>727.7</v>
      </c>
      <c r="V6" s="26">
        <v>1796</v>
      </c>
    </row>
    <row r="7" spans="3:22" ht="12.75" hidden="1" customHeight="1">
      <c r="C7" s="8" t="s">
        <v>101</v>
      </c>
      <c r="D7" s="54">
        <v>72.370909090909095</v>
      </c>
      <c r="E7" s="54">
        <v>24.488727272727274</v>
      </c>
      <c r="F7" s="54">
        <v>18.078545454545452</v>
      </c>
      <c r="G7" s="54">
        <v>19.44480808179118</v>
      </c>
      <c r="H7" s="54">
        <v>10.6</v>
      </c>
      <c r="I7" s="54">
        <v>6.6879999999999997</v>
      </c>
      <c r="J7" s="54">
        <v>3.2450000000000001</v>
      </c>
      <c r="K7" s="54"/>
      <c r="L7" s="9">
        <v>37.43</v>
      </c>
      <c r="M7" s="9">
        <v>30.452727272727273</v>
      </c>
      <c r="N7" s="9">
        <f t="shared" si="2"/>
        <v>222.79871717270026</v>
      </c>
      <c r="O7" s="20">
        <f t="shared" si="3"/>
        <v>0.86331731322706784</v>
      </c>
      <c r="P7" s="25">
        <f t="shared" si="0"/>
        <v>1.5522372715824102</v>
      </c>
      <c r="Q7" s="25" t="e">
        <f>N7*1000/#REF!/365</f>
        <v>#REF!</v>
      </c>
      <c r="R7" s="20" t="e">
        <f t="shared" si="1"/>
        <v>#REF!</v>
      </c>
      <c r="S7" s="20"/>
      <c r="T7" s="20"/>
      <c r="U7" s="9">
        <v>301.98</v>
      </c>
      <c r="V7" s="26">
        <v>533</v>
      </c>
    </row>
    <row r="8" spans="3:22" ht="12.75" hidden="1" customHeight="1">
      <c r="C8" s="8" t="s">
        <v>102</v>
      </c>
      <c r="D8" s="54">
        <v>98.091272727272724</v>
      </c>
      <c r="E8" s="54">
        <v>37.646181818181816</v>
      </c>
      <c r="F8" s="54">
        <v>24.679636363636362</v>
      </c>
      <c r="G8" s="54">
        <v>24.338251611077048</v>
      </c>
      <c r="H8" s="54">
        <v>83.153961063811607</v>
      </c>
      <c r="I8" s="54">
        <v>8.4809999999999999</v>
      </c>
      <c r="J8" s="54">
        <v>2.4123600000000001</v>
      </c>
      <c r="K8" s="54"/>
      <c r="L8" s="9">
        <v>13.95</v>
      </c>
      <c r="M8" s="9">
        <v>37.18690909090909</v>
      </c>
      <c r="N8" s="9">
        <f t="shared" si="2"/>
        <v>329.93957267488861</v>
      </c>
      <c r="O8" s="20">
        <f t="shared" si="3"/>
        <v>0.88729175833796758</v>
      </c>
      <c r="P8" s="25">
        <f t="shared" si="0"/>
        <v>1.0885413000323811</v>
      </c>
      <c r="Q8" s="25" t="e">
        <f>N8*1000/#REF!/365</f>
        <v>#REF!</v>
      </c>
      <c r="R8" s="20" t="e">
        <f t="shared" si="1"/>
        <v>#REF!</v>
      </c>
      <c r="S8" s="20"/>
      <c r="T8" s="20"/>
      <c r="U8" s="9">
        <v>386.59</v>
      </c>
      <c r="V8" s="26">
        <v>973</v>
      </c>
    </row>
    <row r="9" spans="3:22" ht="12.75" hidden="1" customHeight="1">
      <c r="C9" s="8" t="s">
        <v>103</v>
      </c>
      <c r="D9" s="54">
        <v>135.03381818181819</v>
      </c>
      <c r="E9" s="54">
        <v>46.80981818181818</v>
      </c>
      <c r="F9" s="54">
        <v>28.746545454545455</v>
      </c>
      <c r="G9" s="54">
        <v>26.277667502297692</v>
      </c>
      <c r="H9" s="54">
        <v>26.713434220761545</v>
      </c>
      <c r="I9" s="54">
        <v>9.7899999999999991</v>
      </c>
      <c r="J9" s="54">
        <v>3.2827699999999989</v>
      </c>
      <c r="K9" s="54">
        <v>0.33660000000000001</v>
      </c>
      <c r="L9" s="9">
        <v>40.450000000000003</v>
      </c>
      <c r="M9" s="9">
        <v>37.896000000000001</v>
      </c>
      <c r="N9" s="9">
        <f t="shared" si="2"/>
        <v>355.33665354124105</v>
      </c>
      <c r="O9" s="20">
        <f t="shared" si="3"/>
        <v>0.89335184079004182</v>
      </c>
      <c r="P9" s="25">
        <f t="shared" si="0"/>
        <v>1.24441365802391</v>
      </c>
      <c r="Q9" s="25" t="e">
        <f>N9*1000/#REF!/365</f>
        <v>#REF!</v>
      </c>
      <c r="R9" s="20" t="e">
        <f t="shared" si="1"/>
        <v>#REF!</v>
      </c>
      <c r="S9" s="20"/>
      <c r="T9" s="20"/>
      <c r="U9" s="9">
        <v>520.98</v>
      </c>
      <c r="V9" s="26">
        <v>1147</v>
      </c>
    </row>
    <row r="10" spans="3:22" ht="12.75" hidden="1" customHeight="1">
      <c r="C10" s="8" t="s">
        <v>104</v>
      </c>
      <c r="D10" s="54">
        <v>267.86290909090911</v>
      </c>
      <c r="E10" s="54">
        <v>82.666909090909087</v>
      </c>
      <c r="F10" s="54">
        <v>64.944000000000003</v>
      </c>
      <c r="G10" s="54">
        <v>59.907237032379506</v>
      </c>
      <c r="H10" s="54">
        <v>51.9103413966752</v>
      </c>
      <c r="I10" s="54">
        <v>37.427</v>
      </c>
      <c r="J10" s="54">
        <v>9.7721599999999977</v>
      </c>
      <c r="K10" s="54">
        <v>0.96750000000000003</v>
      </c>
      <c r="L10" s="9">
        <v>12.44</v>
      </c>
      <c r="M10" s="9">
        <v>105.34363636363636</v>
      </c>
      <c r="N10" s="9">
        <f t="shared" si="2"/>
        <v>693.24169297450931</v>
      </c>
      <c r="O10" s="20">
        <f t="shared" si="3"/>
        <v>0.84804197809910153</v>
      </c>
      <c r="P10" s="25">
        <f t="shared" si="0"/>
        <v>1.1969660071029935</v>
      </c>
      <c r="Q10" s="25" t="e">
        <f>N10*1000/#REF!/365</f>
        <v>#REF!</v>
      </c>
      <c r="R10" s="20" t="e">
        <f t="shared" si="1"/>
        <v>#REF!</v>
      </c>
      <c r="S10" s="20"/>
      <c r="T10" s="20"/>
      <c r="U10" s="9">
        <v>1179.6099999999999</v>
      </c>
      <c r="V10" s="26">
        <v>2700</v>
      </c>
    </row>
    <row r="11" spans="3:22" ht="12.75" hidden="1" customHeight="1">
      <c r="C11" s="8" t="s">
        <v>105</v>
      </c>
      <c r="D11" s="54">
        <v>41.303999999999995</v>
      </c>
      <c r="E11" s="54">
        <v>14.247272727272726</v>
      </c>
      <c r="F11" s="54">
        <v>8.2679999999999989</v>
      </c>
      <c r="G11" s="54">
        <v>7.0116493423360762</v>
      </c>
      <c r="H11" s="54"/>
      <c r="I11" s="54">
        <v>6.0739999999999998</v>
      </c>
      <c r="J11" s="54"/>
      <c r="K11" s="54">
        <v>9.6299999999999997E-2</v>
      </c>
      <c r="L11" s="9">
        <v>15.03</v>
      </c>
      <c r="M11" s="9">
        <v>7.6363636363636385</v>
      </c>
      <c r="N11" s="9">
        <f t="shared" si="2"/>
        <v>99.667585705972428</v>
      </c>
      <c r="O11" s="20">
        <f t="shared" si="3"/>
        <v>0.92338167336679011</v>
      </c>
      <c r="P11" s="25">
        <f t="shared" si="0"/>
        <v>1.2482091240417243</v>
      </c>
      <c r="Q11" s="25" t="e">
        <f>N11*1000/#REF!/365</f>
        <v>#REF!</v>
      </c>
      <c r="R11" s="20" t="e">
        <f t="shared" si="1"/>
        <v>#REF!</v>
      </c>
      <c r="S11" s="20"/>
      <c r="T11" s="20"/>
      <c r="U11" s="9">
        <v>148.97999999999999</v>
      </c>
      <c r="V11" s="26">
        <v>327</v>
      </c>
    </row>
    <row r="12" spans="3:22" ht="12.75" hidden="1" customHeight="1">
      <c r="C12" s="8" t="s">
        <v>106</v>
      </c>
      <c r="D12" s="54">
        <v>66.910909090909087</v>
      </c>
      <c r="E12" s="54">
        <v>24.190909090909091</v>
      </c>
      <c r="F12" s="54">
        <v>17.426181818181817</v>
      </c>
      <c r="G12" s="54">
        <v>13.193480988623591</v>
      </c>
      <c r="H12" s="54">
        <f>1.72*12</f>
        <v>20.64</v>
      </c>
      <c r="I12" s="54">
        <v>7.8479999999999999</v>
      </c>
      <c r="J12" s="54">
        <v>1.1200000000000001</v>
      </c>
      <c r="K12" s="54">
        <v>0.28260000000000002</v>
      </c>
      <c r="L12" s="9">
        <v>9.56</v>
      </c>
      <c r="M12" s="9">
        <v>14.527636363636365</v>
      </c>
      <c r="N12" s="9">
        <f t="shared" si="2"/>
        <v>175.69971735225997</v>
      </c>
      <c r="O12" s="20">
        <f t="shared" si="3"/>
        <v>0.91731553936134147</v>
      </c>
      <c r="P12" s="25">
        <f t="shared" si="0"/>
        <v>1.1115781572527679</v>
      </c>
      <c r="Q12" s="25" t="e">
        <f>N12*1000/#REF!/365</f>
        <v>#REF!</v>
      </c>
      <c r="R12" s="20" t="e">
        <f t="shared" si="1"/>
        <v>#REF!</v>
      </c>
      <c r="S12" s="20"/>
      <c r="T12" s="20"/>
      <c r="U12" s="9">
        <v>296.18</v>
      </c>
      <c r="V12" s="26">
        <v>730</v>
      </c>
    </row>
    <row r="13" spans="3:22" ht="12.75" hidden="1" customHeight="1">
      <c r="C13" s="8" t="s">
        <v>107</v>
      </c>
      <c r="D13" s="54">
        <v>341.52000000000004</v>
      </c>
      <c r="E13" s="54">
        <v>128.23745454545454</v>
      </c>
      <c r="F13" s="54">
        <v>78.765818181818176</v>
      </c>
      <c r="G13" s="54">
        <v>66.518884435703967</v>
      </c>
      <c r="H13" s="54">
        <v>54.994590264260829</v>
      </c>
      <c r="I13" s="54">
        <v>50.320999999999998</v>
      </c>
      <c r="J13" s="54">
        <v>18.23695</v>
      </c>
      <c r="K13" s="54"/>
      <c r="L13" s="9">
        <v>84.23</v>
      </c>
      <c r="M13" s="9">
        <v>111.65781818181819</v>
      </c>
      <c r="N13" s="9">
        <f t="shared" si="2"/>
        <v>934.48251560905578</v>
      </c>
      <c r="O13" s="20">
        <f t="shared" si="3"/>
        <v>0.88051374282905193</v>
      </c>
      <c r="P13" s="25">
        <f t="shared" si="0"/>
        <v>1.1658969476496335</v>
      </c>
      <c r="Q13" s="25" t="e">
        <f>N13*1000/#REF!/365</f>
        <v>#REF!</v>
      </c>
      <c r="R13" s="20" t="e">
        <f t="shared" si="1"/>
        <v>#REF!</v>
      </c>
      <c r="S13" s="20"/>
      <c r="T13" s="20"/>
      <c r="U13" s="9">
        <v>1640.93</v>
      </c>
      <c r="V13" s="26">
        <v>3856</v>
      </c>
    </row>
    <row r="14" spans="3:22" ht="12.75" hidden="1" customHeight="1">
      <c r="C14" s="8" t="s">
        <v>108</v>
      </c>
      <c r="D14" s="54">
        <v>380.49818181818176</v>
      </c>
      <c r="E14" s="54">
        <v>135.97854545454547</v>
      </c>
      <c r="F14" s="54">
        <v>102.70472727272725</v>
      </c>
      <c r="G14" s="54">
        <v>99.733299714928279</v>
      </c>
      <c r="H14" s="54">
        <v>29.37</v>
      </c>
      <c r="I14" s="54"/>
      <c r="J14" s="54">
        <v>1.3109999999999999</v>
      </c>
      <c r="K14" s="54"/>
      <c r="L14" s="9">
        <v>323.94</v>
      </c>
      <c r="M14" s="9">
        <v>117.31963636363636</v>
      </c>
      <c r="N14" s="9">
        <f t="shared" si="2"/>
        <v>1190.8553906240193</v>
      </c>
      <c r="O14" s="20">
        <f t="shared" si="3"/>
        <v>0.9014828859260906</v>
      </c>
      <c r="P14" s="25">
        <f t="shared" si="0"/>
        <v>1.3283505647441238</v>
      </c>
      <c r="Q14" s="25" t="e">
        <f>N14*1000/#REF!/365</f>
        <v>#REF!</v>
      </c>
      <c r="R14" s="20" t="e">
        <f t="shared" si="1"/>
        <v>#REF!</v>
      </c>
      <c r="S14" s="20"/>
      <c r="T14" s="20"/>
      <c r="U14" s="9">
        <v>1945.21</v>
      </c>
      <c r="V14" s="26">
        <v>4012</v>
      </c>
    </row>
    <row r="15" spans="3:22" ht="12.75" hidden="1" customHeight="1">
      <c r="C15" s="8" t="s">
        <v>109</v>
      </c>
      <c r="D15" s="54">
        <v>59.131636363636375</v>
      </c>
      <c r="E15" s="54">
        <v>20.378181818181819</v>
      </c>
      <c r="F15" s="54">
        <v>11.827636363636362</v>
      </c>
      <c r="G15" s="54">
        <v>10.031346197027338</v>
      </c>
      <c r="H15" s="54"/>
      <c r="I15" s="54">
        <v>7.0179999999999998</v>
      </c>
      <c r="J15" s="54">
        <v>0.72175999999999985</v>
      </c>
      <c r="K15" s="54"/>
      <c r="L15" s="9">
        <v>18.57</v>
      </c>
      <c r="M15" s="9">
        <v>11.098909090909093</v>
      </c>
      <c r="N15" s="9">
        <f t="shared" si="2"/>
        <v>138.777469833391</v>
      </c>
      <c r="O15" s="20">
        <f t="shared" si="3"/>
        <v>0.92002369617896995</v>
      </c>
      <c r="P15" s="25">
        <f t="shared" si="0"/>
        <v>0.62658245153528558</v>
      </c>
      <c r="Q15" s="25" t="e">
        <f>N15*1000/#REF!/365</f>
        <v>#REF!</v>
      </c>
      <c r="R15" s="20" t="e">
        <f t="shared" si="1"/>
        <v>#REF!</v>
      </c>
      <c r="S15" s="20"/>
      <c r="T15" s="20"/>
      <c r="U15" s="9">
        <v>114.58</v>
      </c>
      <c r="V15" s="26">
        <v>501</v>
      </c>
    </row>
    <row r="16" spans="3:22" ht="12.75" hidden="1" customHeight="1">
      <c r="C16" s="8" t="s">
        <v>110</v>
      </c>
      <c r="D16" s="54">
        <v>309.93163636363636</v>
      </c>
      <c r="E16" s="54">
        <v>128.55818181818182</v>
      </c>
      <c r="F16" s="54">
        <v>86.070545454545439</v>
      </c>
      <c r="G16" s="54">
        <v>90.691398670532649</v>
      </c>
      <c r="H16" s="54">
        <f>93.2402896085801+30.3591861164088</f>
        <v>123.59947572498891</v>
      </c>
      <c r="I16" s="54">
        <f>24.8355+8.2785</f>
        <v>33.113999999999997</v>
      </c>
      <c r="J16" s="54"/>
      <c r="K16" s="54">
        <v>0.87029999999999985</v>
      </c>
      <c r="L16" s="9">
        <v>164.58</v>
      </c>
      <c r="M16" s="9">
        <v>106.38545454545454</v>
      </c>
      <c r="N16" s="9">
        <f t="shared" si="2"/>
        <v>1043.8009925773399</v>
      </c>
      <c r="O16" s="20">
        <f t="shared" si="3"/>
        <v>0.89807879538151325</v>
      </c>
      <c r="P16" s="25">
        <f t="shared" si="0"/>
        <v>1.3545260091931006</v>
      </c>
      <c r="Q16" s="25" t="e">
        <f>N16*1000/#REF!/365</f>
        <v>#REF!</v>
      </c>
      <c r="R16" s="20" t="e">
        <f t="shared" si="1"/>
        <v>#REF!</v>
      </c>
      <c r="S16" s="20"/>
      <c r="T16" s="20"/>
      <c r="U16" s="9">
        <v>1785.78</v>
      </c>
      <c r="V16" s="26">
        <v>3612</v>
      </c>
    </row>
    <row r="17" spans="3:22" ht="12.75" hidden="1" customHeight="1">
      <c r="C17" s="8" t="s">
        <v>111</v>
      </c>
      <c r="D17" s="54">
        <v>498.39490909090898</v>
      </c>
      <c r="E17" s="54">
        <v>192.99927272727274</v>
      </c>
      <c r="F17" s="54">
        <v>123.56836363636361</v>
      </c>
      <c r="G17" s="54">
        <v>106.46423145763629</v>
      </c>
      <c r="H17" s="54">
        <v>45.468660194653992</v>
      </c>
      <c r="I17" s="54"/>
      <c r="J17" s="54">
        <v>22.763999999999999</v>
      </c>
      <c r="K17" s="54"/>
      <c r="L17" s="9">
        <v>328.02</v>
      </c>
      <c r="M17" s="9">
        <v>195.81381818181816</v>
      </c>
      <c r="N17" s="9">
        <f>SUM(D17:M17)</f>
        <v>1513.4932552886539</v>
      </c>
      <c r="O17" s="20">
        <f t="shared" si="3"/>
        <v>0.87062128126598592</v>
      </c>
      <c r="P17" s="25">
        <f t="shared" si="0"/>
        <v>1.2059717752178136</v>
      </c>
      <c r="Q17" s="25" t="e">
        <f>N17*1000/#REF!/365</f>
        <v>#REF!</v>
      </c>
      <c r="R17" s="20" t="e">
        <f t="shared" si="1"/>
        <v>#REF!</v>
      </c>
      <c r="S17" s="20"/>
      <c r="T17" s="20"/>
      <c r="U17" s="9">
        <v>2302.58</v>
      </c>
      <c r="V17" s="26">
        <v>5231</v>
      </c>
    </row>
    <row r="18" spans="3:22" ht="12.75" hidden="1" customHeight="1">
      <c r="C18" s="4" t="s">
        <v>18</v>
      </c>
      <c r="D18" s="56">
        <f>SUM(D4:D17)</f>
        <v>3086.6236363636367</v>
      </c>
      <c r="E18" s="56">
        <f t="shared" ref="E18:N18" si="4">SUM(E4:E17)</f>
        <v>1130.4436363636364</v>
      </c>
      <c r="F18" s="10">
        <f t="shared" si="4"/>
        <v>771.41236363636358</v>
      </c>
      <c r="G18" s="10">
        <f t="shared" si="4"/>
        <v>711.5168252131939</v>
      </c>
      <c r="H18" s="10">
        <f t="shared" si="4"/>
        <v>711.19331013614942</v>
      </c>
      <c r="I18" s="10">
        <f t="shared" si="4"/>
        <v>262.27600000000001</v>
      </c>
      <c r="J18" s="10">
        <f t="shared" si="4"/>
        <v>89.644000000000005</v>
      </c>
      <c r="K18" s="10">
        <f t="shared" si="4"/>
        <v>4.1525999999999996</v>
      </c>
      <c r="L18" s="56">
        <f t="shared" si="4"/>
        <v>1212.8200000000002</v>
      </c>
      <c r="M18" s="56">
        <f t="shared" si="4"/>
        <v>1179.4036363636365</v>
      </c>
      <c r="N18" s="56">
        <f t="shared" si="4"/>
        <v>9159.4860080766157</v>
      </c>
      <c r="O18" s="21">
        <f>SUM(D18:L18)/N18</f>
        <v>0.87123691926341007</v>
      </c>
      <c r="P18" s="27">
        <f t="shared" si="0"/>
        <v>1.2055704815768065</v>
      </c>
      <c r="Q18" s="27" t="e">
        <f>N18*1000/#REF!/365</f>
        <v>#REF!</v>
      </c>
      <c r="R18" s="21" t="e">
        <f>(Q18-P18)/P18</f>
        <v>#REF!</v>
      </c>
      <c r="S18" s="21"/>
      <c r="T18" s="21"/>
      <c r="U18" s="10">
        <f>SUM(U4:U17)</f>
        <v>13773.480000000001</v>
      </c>
      <c r="V18" s="10">
        <f>SUM(V4:V17)</f>
        <v>31301</v>
      </c>
    </row>
    <row r="19" spans="3:22" ht="15" hidden="1" customHeight="1">
      <c r="C19" s="5"/>
      <c r="D19" s="22">
        <f t="shared" ref="D19:M19" si="5">D18/$N$18</f>
        <v>0.33698655510166464</v>
      </c>
      <c r="E19" s="22">
        <f t="shared" si="5"/>
        <v>0.12341780263290301</v>
      </c>
      <c r="F19" s="22">
        <f t="shared" si="5"/>
        <v>8.422004935169404E-2</v>
      </c>
      <c r="G19" s="22">
        <f t="shared" si="5"/>
        <v>7.7680868182537249E-2</v>
      </c>
      <c r="H19" s="22">
        <f t="shared" si="5"/>
        <v>7.7645547960773803E-2</v>
      </c>
      <c r="I19" s="22">
        <f t="shared" si="5"/>
        <v>2.8634357841556973E-2</v>
      </c>
      <c r="J19" s="22">
        <f t="shared" si="5"/>
        <v>9.7870120573309537E-3</v>
      </c>
      <c r="K19" s="22">
        <f t="shared" si="5"/>
        <v>4.5336605092669349E-4</v>
      </c>
      <c r="L19" s="22">
        <f t="shared" si="5"/>
        <v>0.13241136008402268</v>
      </c>
      <c r="M19" s="22">
        <f t="shared" si="5"/>
        <v>0.12876308073659007</v>
      </c>
      <c r="N19" s="22">
        <f>SUM(D19:M19)</f>
        <v>1.0000000000000002</v>
      </c>
      <c r="O19" s="5"/>
      <c r="U19" s="5"/>
    </row>
    <row r="20" spans="3:22" ht="12.75" hidden="1" customHeight="1">
      <c r="M20" s="1"/>
    </row>
    <row r="21" spans="3:22" ht="12.75" hidden="1" customHeight="1">
      <c r="C21" s="8"/>
      <c r="D21" s="16"/>
      <c r="F21" s="50"/>
      <c r="G21" s="50"/>
    </row>
    <row r="22" spans="3:22" ht="12.75" hidden="1" customHeight="1">
      <c r="C22" s="8" t="s">
        <v>112</v>
      </c>
      <c r="D22" s="12">
        <v>92.29</v>
      </c>
      <c r="E22" s="14"/>
      <c r="F22" s="50"/>
      <c r="G22" s="51"/>
    </row>
    <row r="23" spans="3:22" ht="12.75" hidden="1" customHeight="1">
      <c r="C23" s="8" t="s">
        <v>1</v>
      </c>
      <c r="D23" s="43" t="s">
        <v>2</v>
      </c>
      <c r="E23" s="14"/>
      <c r="F23" s="50"/>
      <c r="G23" s="51"/>
    </row>
    <row r="24" spans="3:22" ht="12.75" hidden="1" customHeight="1">
      <c r="F24" s="50"/>
      <c r="G24" s="5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3:22" ht="12.75" hidden="1" customHeight="1">
      <c r="F25" s="50"/>
      <c r="G25" s="51"/>
      <c r="H25" s="307"/>
      <c r="I25" s="308"/>
      <c r="J25" s="308"/>
      <c r="K25" s="308"/>
      <c r="L25" s="160"/>
      <c r="M25" s="308"/>
      <c r="N25" s="308"/>
      <c r="O25" s="1"/>
      <c r="P25" s="1"/>
      <c r="Q25" s="1"/>
      <c r="R25" s="1"/>
      <c r="S25" s="1"/>
      <c r="T25" s="1"/>
      <c r="U25" s="1"/>
      <c r="V25" s="1"/>
    </row>
    <row r="26" spans="3:22" ht="12.75" hidden="1" customHeight="1">
      <c r="G26" s="338" t="s">
        <v>113</v>
      </c>
      <c r="H26" s="338"/>
      <c r="I26" s="338"/>
      <c r="J26" s="160"/>
      <c r="K26" s="156"/>
      <c r="L26" s="160"/>
      <c r="M26" s="160"/>
      <c r="N26" s="156"/>
      <c r="O26" s="1"/>
      <c r="P26" s="1"/>
      <c r="Q26" s="1"/>
      <c r="R26" s="1"/>
      <c r="S26" s="1"/>
      <c r="T26" s="1"/>
      <c r="U26" s="1"/>
      <c r="V26" s="1"/>
    </row>
    <row r="27" spans="3:22" ht="12.75" hidden="1" customHeight="1">
      <c r="D27" s="6" t="s">
        <v>114</v>
      </c>
      <c r="E27" s="6" t="s">
        <v>115</v>
      </c>
      <c r="F27" s="40" t="s">
        <v>116</v>
      </c>
      <c r="G27" s="40" t="s">
        <v>117</v>
      </c>
      <c r="H27" s="40" t="s">
        <v>118</v>
      </c>
      <c r="I27" s="40" t="s">
        <v>119</v>
      </c>
      <c r="J27" s="49" t="s">
        <v>120</v>
      </c>
      <c r="K27" s="49" t="s">
        <v>252</v>
      </c>
      <c r="L27" s="160"/>
      <c r="M27" s="49" t="s">
        <v>121</v>
      </c>
      <c r="N27" s="160"/>
      <c r="O27" s="160"/>
      <c r="P27" s="160"/>
      <c r="Q27" s="160"/>
      <c r="R27" s="160"/>
      <c r="S27" s="160"/>
      <c r="T27" s="160"/>
      <c r="U27" s="1"/>
      <c r="V27" s="1"/>
    </row>
    <row r="28" spans="3:22" ht="12.75" hidden="1" customHeight="1">
      <c r="C28" s="8" t="s">
        <v>97</v>
      </c>
      <c r="D28" s="3" t="e">
        <f>-#REF!-(-#REF!*0.1%)</f>
        <v>#REF!</v>
      </c>
      <c r="E28" s="3" t="e">
        <f>D28*0.0318</f>
        <v>#REF!</v>
      </c>
      <c r="F28" s="3">
        <f t="shared" ref="F28:F41" si="6">-D4*$D$22</f>
        <v>-10020.680400000001</v>
      </c>
      <c r="G28" s="3">
        <v>2233.3921471768117</v>
      </c>
      <c r="H28" s="3">
        <v>1296.450008096067</v>
      </c>
      <c r="I28" s="3">
        <v>12765.434662706888</v>
      </c>
      <c r="J28" s="3">
        <v>6406.3936076339996</v>
      </c>
      <c r="K28" s="3">
        <v>3642.4536664909087</v>
      </c>
      <c r="L28" s="3">
        <f>J28+K28</f>
        <v>10048.847274124908</v>
      </c>
      <c r="M28" s="3">
        <v>719.12796502610718</v>
      </c>
      <c r="N28" s="52" t="s">
        <v>97</v>
      </c>
      <c r="P28" s="41"/>
      <c r="Q28" s="41"/>
      <c r="R28" s="41"/>
      <c r="S28" s="41"/>
      <c r="T28" s="41"/>
      <c r="U28" s="1"/>
      <c r="V28" s="44"/>
    </row>
    <row r="29" spans="3:22" ht="12.75" hidden="1" customHeight="1">
      <c r="C29" s="8" t="s">
        <v>98</v>
      </c>
      <c r="D29" s="3" t="e">
        <f>-#REF!-(-#REF!*0.1%)</f>
        <v>#REF!</v>
      </c>
      <c r="E29" s="3" t="e">
        <f t="shared" ref="E29:E41" si="7">D29*0.0318</f>
        <v>#REF!</v>
      </c>
      <c r="F29" s="3">
        <f t="shared" si="6"/>
        <v>-47284.664040000003</v>
      </c>
      <c r="G29" s="3">
        <v>6917.0806147980002</v>
      </c>
      <c r="H29" s="3">
        <v>6591.8000297627814</v>
      </c>
      <c r="I29" s="3">
        <v>59654.765342435814</v>
      </c>
      <c r="J29" s="3">
        <v>26572.140897976322</v>
      </c>
      <c r="K29" s="3">
        <v>17190.280073963637</v>
      </c>
      <c r="L29" s="3">
        <f t="shared" ref="L29:L41" si="8">J29+K29</f>
        <v>43762.420971939959</v>
      </c>
      <c r="M29" s="3">
        <v>3501.9527220565428</v>
      </c>
      <c r="N29" s="52" t="s">
        <v>98</v>
      </c>
      <c r="P29" s="41"/>
      <c r="Q29" s="41"/>
      <c r="R29" s="41"/>
      <c r="S29" s="41"/>
      <c r="T29" s="41"/>
      <c r="U29" s="1"/>
      <c r="V29" s="44"/>
    </row>
    <row r="30" spans="3:22" ht="12.75" hidden="1" customHeight="1">
      <c r="C30" s="8" t="s">
        <v>100</v>
      </c>
      <c r="D30" s="3" t="e">
        <f>-#REF!-(-#REF!*0.1%)</f>
        <v>#REF!</v>
      </c>
      <c r="E30" s="3" t="e">
        <f t="shared" si="7"/>
        <v>#REF!</v>
      </c>
      <c r="F30" s="3">
        <f t="shared" si="6"/>
        <v>-17963.929680000005</v>
      </c>
      <c r="G30" s="3">
        <v>2692.6233444613181</v>
      </c>
      <c r="H30" s="3">
        <v>1899.6801905050174</v>
      </c>
      <c r="I30" s="3">
        <v>22942.754243737698</v>
      </c>
      <c r="J30" s="3">
        <v>11507.242524558</v>
      </c>
      <c r="K30" s="3">
        <v>6531.8230610727278</v>
      </c>
      <c r="L30" s="3">
        <f t="shared" si="8"/>
        <v>18039.065585630728</v>
      </c>
      <c r="M30" s="3">
        <v>2127.0494292791982</v>
      </c>
      <c r="N30" s="52" t="s">
        <v>100</v>
      </c>
      <c r="P30" s="41"/>
      <c r="Q30" s="41"/>
      <c r="R30" s="41"/>
      <c r="S30" s="41"/>
      <c r="T30" s="41"/>
      <c r="U30" s="1"/>
      <c r="V30" s="44"/>
    </row>
    <row r="31" spans="3:22" ht="12.75" hidden="1" customHeight="1">
      <c r="C31" s="8" t="s">
        <v>101</v>
      </c>
      <c r="D31" s="3" t="e">
        <f>-#REF!-(-#REF!*0.1%)</f>
        <v>#REF!</v>
      </c>
      <c r="E31" s="3" t="e">
        <f t="shared" si="7"/>
        <v>#REF!</v>
      </c>
      <c r="F31" s="3">
        <f t="shared" si="6"/>
        <v>-6679.1112000000012</v>
      </c>
      <c r="G31" s="3">
        <v>1401.7061360812827</v>
      </c>
      <c r="H31" s="3">
        <v>849.32585945872393</v>
      </c>
      <c r="I31" s="3">
        <v>8375.1216567014017</v>
      </c>
      <c r="J31" s="3">
        <v>4269.9548502779999</v>
      </c>
      <c r="K31" s="3">
        <v>2427.8039712545456</v>
      </c>
      <c r="L31" s="3">
        <f t="shared" si="8"/>
        <v>6697.758821532545</v>
      </c>
      <c r="M31" s="3">
        <v>544.37615914897083</v>
      </c>
      <c r="N31" s="52" t="s">
        <v>101</v>
      </c>
      <c r="P31" s="41"/>
      <c r="Q31" s="41"/>
      <c r="R31" s="41"/>
      <c r="S31" s="41"/>
      <c r="T31" s="41"/>
      <c r="U31" s="1"/>
      <c r="V31" s="44"/>
    </row>
    <row r="32" spans="3:22" ht="12.75" hidden="1" customHeight="1">
      <c r="C32" s="8" t="s">
        <v>102</v>
      </c>
      <c r="D32" s="3" t="e">
        <f>-#REF!-(-#REF!*0.1%)</f>
        <v>#REF!</v>
      </c>
      <c r="E32" s="3" t="e">
        <f t="shared" si="7"/>
        <v>#REF!</v>
      </c>
      <c r="F32" s="3">
        <f t="shared" si="6"/>
        <v>-9052.8435600000012</v>
      </c>
      <c r="G32" s="3">
        <v>1754.9173886056567</v>
      </c>
      <c r="H32" s="3">
        <v>1161.6677457831649</v>
      </c>
      <c r="I32" s="3">
        <v>12863.191730635868</v>
      </c>
      <c r="J32" s="3">
        <v>5787.6062081460004</v>
      </c>
      <c r="K32" s="3">
        <v>3290.6481642363642</v>
      </c>
      <c r="L32" s="3">
        <f t="shared" si="8"/>
        <v>9078.2543723823655</v>
      </c>
      <c r="M32" s="3">
        <v>559.19343616963386</v>
      </c>
      <c r="N32" s="52" t="s">
        <v>102</v>
      </c>
      <c r="P32" s="41"/>
      <c r="Q32" s="41"/>
      <c r="R32" s="41"/>
      <c r="S32" s="41"/>
      <c r="T32" s="41"/>
      <c r="U32" s="1"/>
      <c r="V32" s="44"/>
    </row>
    <row r="33" spans="1:22" ht="12.75" hidden="1" customHeight="1">
      <c r="C33" s="8" t="s">
        <v>103</v>
      </c>
      <c r="D33" s="3" t="e">
        <f>-#REF!-(-#REF!*0.1%)</f>
        <v>#REF!</v>
      </c>
      <c r="E33" s="3" t="e">
        <f t="shared" si="7"/>
        <v>#REF!</v>
      </c>
      <c r="F33" s="3">
        <f t="shared" si="6"/>
        <v>-12462.271080000002</v>
      </c>
      <c r="G33" s="3">
        <v>1898.6972761934182</v>
      </c>
      <c r="H33" s="3">
        <v>1349.5698017184839</v>
      </c>
      <c r="I33" s="3">
        <v>16032.852440864026</v>
      </c>
      <c r="J33" s="3">
        <v>7980.2741682420001</v>
      </c>
      <c r="K33" s="3">
        <v>4531.1288371090914</v>
      </c>
      <c r="L33" s="3">
        <f t="shared" si="8"/>
        <v>12511.403005351091</v>
      </c>
      <c r="M33" s="3">
        <v>617.97532667112819</v>
      </c>
      <c r="N33" s="52" t="s">
        <v>103</v>
      </c>
      <c r="P33" s="41"/>
      <c r="Q33" s="41"/>
      <c r="R33" s="41"/>
      <c r="S33" s="41"/>
      <c r="T33" s="41"/>
      <c r="U33" s="1"/>
      <c r="V33" s="44"/>
    </row>
    <row r="34" spans="1:22" ht="12.75" hidden="1" customHeight="1">
      <c r="C34" s="8" t="s">
        <v>104</v>
      </c>
      <c r="D34" s="3" t="e">
        <f>-#REF!-(-#REF!*0.1%)</f>
        <v>#REF!</v>
      </c>
      <c r="E34" s="3" t="e">
        <f t="shared" si="7"/>
        <v>#REF!</v>
      </c>
      <c r="F34" s="3">
        <f t="shared" si="6"/>
        <v>-24721.067880000002</v>
      </c>
      <c r="G34" s="3">
        <v>4323.2631427129118</v>
      </c>
      <c r="H34" s="3">
        <v>3061.8391618200603</v>
      </c>
      <c r="I34" s="3">
        <v>28308.678692048186</v>
      </c>
      <c r="J34" s="3">
        <v>15773.760480258001</v>
      </c>
      <c r="K34" s="3">
        <v>8983.1541492545457</v>
      </c>
      <c r="L34" s="3">
        <f t="shared" si="8"/>
        <v>24756.914629512547</v>
      </c>
      <c r="M34" s="3">
        <v>2696.8513240109578</v>
      </c>
      <c r="N34" s="52" t="s">
        <v>104</v>
      </c>
      <c r="P34" s="41"/>
      <c r="Q34" s="41"/>
      <c r="R34" s="41"/>
      <c r="S34" s="41"/>
      <c r="T34" s="41"/>
      <c r="U34" s="1"/>
      <c r="V34" s="44"/>
    </row>
    <row r="35" spans="1:22" ht="12.75" hidden="1" customHeight="1">
      <c r="C35" s="8" t="s">
        <v>105</v>
      </c>
      <c r="D35" s="3" t="e">
        <f>-#REF!-(-#REF!*0.1%)</f>
        <v>#REF!</v>
      </c>
      <c r="E35" s="3" t="e">
        <f t="shared" si="7"/>
        <v>#REF!</v>
      </c>
      <c r="F35" s="3">
        <f t="shared" si="6"/>
        <v>-3811.94616</v>
      </c>
      <c r="G35" s="3">
        <v>507.51474925301432</v>
      </c>
      <c r="H35" s="3">
        <v>387.94065141469628</v>
      </c>
      <c r="I35" s="3">
        <v>4879.9486259556725</v>
      </c>
      <c r="J35" s="3">
        <v>2441.7738243119998</v>
      </c>
      <c r="K35" s="3">
        <v>1386.0472232</v>
      </c>
      <c r="L35" s="3">
        <f t="shared" si="8"/>
        <v>3827.8210475119995</v>
      </c>
      <c r="M35" s="3">
        <v>414.34702588844783</v>
      </c>
      <c r="N35" s="52" t="s">
        <v>105</v>
      </c>
      <c r="P35" s="41"/>
      <c r="Q35" s="41"/>
      <c r="R35" s="41"/>
      <c r="S35" s="41"/>
      <c r="T35" s="41"/>
      <c r="U35" s="1"/>
      <c r="V35" s="44"/>
    </row>
    <row r="36" spans="1:22" ht="12.75" hidden="1" customHeight="1">
      <c r="C36" s="8" t="s">
        <v>106</v>
      </c>
      <c r="D36" s="3" t="e">
        <f>-#REF!-(-#REF!*0.1%)</f>
        <v>#REF!</v>
      </c>
      <c r="E36" s="3" t="e">
        <f t="shared" si="7"/>
        <v>#REF!</v>
      </c>
      <c r="F36" s="3">
        <f t="shared" si="6"/>
        <v>-6175.2078000000001</v>
      </c>
      <c r="G36" s="3">
        <v>957.18623746758226</v>
      </c>
      <c r="H36" s="3">
        <v>819.89610556201478</v>
      </c>
      <c r="I36" s="3">
        <v>8285.6999461691903</v>
      </c>
      <c r="J36" s="3">
        <v>3950.3466139319999</v>
      </c>
      <c r="K36" s="3">
        <v>2244.8691506545456</v>
      </c>
      <c r="L36" s="3">
        <f t="shared" si="8"/>
        <v>6195.2157645865454</v>
      </c>
      <c r="M36" s="3">
        <v>508.13159673909053</v>
      </c>
      <c r="N36" s="52" t="s">
        <v>106</v>
      </c>
      <c r="P36" s="41"/>
      <c r="Q36" s="41"/>
      <c r="R36" s="41"/>
      <c r="S36" s="41"/>
      <c r="T36" s="41"/>
      <c r="U36" s="1"/>
      <c r="V36" s="44"/>
    </row>
    <row r="37" spans="1:22" ht="12.75" hidden="1" customHeight="1">
      <c r="C37" s="8" t="s">
        <v>107</v>
      </c>
      <c r="D37" s="3" t="e">
        <f>-#REF!-(-#REF!*0.1%)</f>
        <v>#REF!</v>
      </c>
      <c r="E37" s="3" t="e">
        <f t="shared" si="7"/>
        <v>#REF!</v>
      </c>
      <c r="F37" s="3">
        <f t="shared" si="6"/>
        <v>-31518.880800000006</v>
      </c>
      <c r="G37" s="3">
        <v>4819.3202651864121</v>
      </c>
      <c r="H37" s="3">
        <v>3703.5034738555473</v>
      </c>
      <c r="I37" s="3">
        <v>43922.91822005545</v>
      </c>
      <c r="J37" s="3">
        <v>20146.402871646002</v>
      </c>
      <c r="K37" s="3">
        <v>11456.535650600001</v>
      </c>
      <c r="L37" s="3">
        <f t="shared" si="8"/>
        <v>31602.938522246004</v>
      </c>
      <c r="M37" s="3">
        <v>3473.8779395852184</v>
      </c>
      <c r="N37" s="52" t="s">
        <v>107</v>
      </c>
      <c r="P37" s="41"/>
      <c r="Q37" s="41"/>
      <c r="R37" s="41"/>
      <c r="S37" s="41"/>
      <c r="T37" s="41"/>
      <c r="U37" s="1"/>
      <c r="V37" s="44"/>
    </row>
    <row r="38" spans="1:22" ht="12.75" hidden="1" customHeight="1">
      <c r="C38" s="8" t="s">
        <v>108</v>
      </c>
      <c r="D38" s="3" t="e">
        <f>-#REF!-(-#REF!*0.1%)</f>
        <v>#REF!</v>
      </c>
      <c r="E38" s="3" t="e">
        <f t="shared" si="7"/>
        <v>#REF!</v>
      </c>
      <c r="F38" s="3">
        <f t="shared" si="6"/>
        <v>-35116.177199999998</v>
      </c>
      <c r="G38" s="3">
        <v>7222.4203040169205</v>
      </c>
      <c r="H38" s="3">
        <v>4824.3284855737311</v>
      </c>
      <c r="I38" s="3">
        <v>46515.877744509395</v>
      </c>
      <c r="J38" s="3">
        <v>22503.022353780001</v>
      </c>
      <c r="K38" s="3">
        <v>12769.281267090908</v>
      </c>
      <c r="L38" s="3">
        <f t="shared" si="8"/>
        <v>35272.303620870909</v>
      </c>
      <c r="N38" s="52" t="s">
        <v>108</v>
      </c>
      <c r="P38" s="41"/>
      <c r="Q38" s="41"/>
      <c r="R38" s="41"/>
      <c r="S38" s="41"/>
      <c r="T38" s="41"/>
      <c r="U38" s="1"/>
      <c r="V38" s="44"/>
    </row>
    <row r="39" spans="1:22" ht="12.75" hidden="1" customHeight="1">
      <c r="C39" s="8" t="s">
        <v>109</v>
      </c>
      <c r="D39" s="3" t="e">
        <f>-#REF!-(-#REF!*0.1%)</f>
        <v>#REF!</v>
      </c>
      <c r="E39" s="3" t="e">
        <f t="shared" si="7"/>
        <v>#REF!</v>
      </c>
      <c r="F39" s="3">
        <f t="shared" si="6"/>
        <v>-5457.2587200000016</v>
      </c>
      <c r="G39" s="3">
        <v>725.8792767857085</v>
      </c>
      <c r="H39" s="3">
        <v>554.97195718427554</v>
      </c>
      <c r="I39" s="3">
        <v>6979.9421059361675</v>
      </c>
      <c r="J39" s="3">
        <v>3495.6744551640004</v>
      </c>
      <c r="K39" s="3">
        <v>1984.2914222181821</v>
      </c>
      <c r="L39" s="3">
        <f t="shared" si="8"/>
        <v>5479.965877382183</v>
      </c>
      <c r="M39" s="3">
        <v>487.91310274826418</v>
      </c>
      <c r="N39" s="52" t="s">
        <v>109</v>
      </c>
      <c r="P39" s="41"/>
      <c r="Q39" s="41"/>
      <c r="R39" s="41"/>
      <c r="S39" s="41"/>
      <c r="T39" s="41"/>
      <c r="U39" s="1"/>
      <c r="V39" s="44"/>
    </row>
    <row r="40" spans="1:22" ht="12.75" hidden="1" customHeight="1">
      <c r="C40" s="8" t="s">
        <v>122</v>
      </c>
      <c r="D40" s="3" t="e">
        <f>-#REF!-(-#REF!*0.1%)</f>
        <v>#REF!</v>
      </c>
      <c r="E40" s="3" t="e">
        <f t="shared" si="7"/>
        <v>#REF!</v>
      </c>
      <c r="F40" s="3">
        <f t="shared" si="6"/>
        <v>-28603.59072</v>
      </c>
      <c r="G40" s="3">
        <v>6544.3824228953308</v>
      </c>
      <c r="H40" s="3">
        <v>4042.8944403663609</v>
      </c>
      <c r="I40" s="3">
        <v>43974.571612550149</v>
      </c>
      <c r="J40" s="3">
        <v>18291.851066039999</v>
      </c>
      <c r="K40" s="3">
        <v>10397.684425818181</v>
      </c>
      <c r="L40" s="3">
        <f t="shared" si="8"/>
        <v>28689.53549185818</v>
      </c>
      <c r="M40" s="3">
        <v>2226.224372015371</v>
      </c>
      <c r="N40" s="52" t="s">
        <v>122</v>
      </c>
      <c r="P40" s="41"/>
      <c r="Q40" s="41"/>
      <c r="R40" s="41"/>
      <c r="S40" s="41"/>
      <c r="T40" s="41"/>
      <c r="U40" s="1"/>
      <c r="V40" s="44"/>
    </row>
    <row r="41" spans="1:22" ht="12.75" hidden="1" customHeight="1">
      <c r="C41" s="8" t="s">
        <v>111</v>
      </c>
      <c r="D41" s="3" t="e">
        <f>-#REF!-(-#REF!*0.1%)</f>
        <v>#REF!</v>
      </c>
      <c r="E41" s="3" t="e">
        <f t="shared" si="7"/>
        <v>#REF!</v>
      </c>
      <c r="F41" s="3">
        <f t="shared" si="6"/>
        <v>-45996.86615999999</v>
      </c>
      <c r="G41" s="3">
        <v>6148.9603684813392</v>
      </c>
      <c r="H41" s="3">
        <v>5887.442117008789</v>
      </c>
      <c r="I41" s="3">
        <v>60513.504017068102</v>
      </c>
      <c r="J41" s="3">
        <v>25841.940503516162</v>
      </c>
      <c r="K41" s="3">
        <v>16721.411179254545</v>
      </c>
      <c r="L41" s="3">
        <f t="shared" si="8"/>
        <v>42563.351682770706</v>
      </c>
      <c r="N41" s="52" t="s">
        <v>111</v>
      </c>
      <c r="P41" s="41"/>
      <c r="Q41" s="41"/>
      <c r="R41" s="41"/>
      <c r="S41" s="41"/>
      <c r="T41" s="41"/>
      <c r="U41" s="1"/>
      <c r="V41" s="44"/>
    </row>
    <row r="42" spans="1:22" ht="12.75" hidden="1" customHeight="1">
      <c r="D42" s="3" t="e">
        <f>SUM(D28:D41)</f>
        <v>#REF!</v>
      </c>
      <c r="E42" s="3" t="e">
        <f>D42*0.0312</f>
        <v>#REF!</v>
      </c>
      <c r="F42" s="3">
        <f>SUM(F28:F41)</f>
        <v>-284864.49540000007</v>
      </c>
      <c r="K42" s="42"/>
      <c r="L42" s="42"/>
      <c r="M42" s="42"/>
      <c r="N42" s="42"/>
      <c r="O42" s="1"/>
      <c r="P42" s="41"/>
      <c r="Q42" s="41"/>
      <c r="R42" s="41"/>
      <c r="S42" s="41"/>
      <c r="T42" s="41"/>
      <c r="U42" s="1"/>
      <c r="V42" s="30"/>
    </row>
    <row r="43" spans="1:22" ht="12.75" hidden="1" customHeight="1">
      <c r="C43" s="23"/>
      <c r="D43" s="30"/>
      <c r="E43" s="31"/>
      <c r="F43" s="29"/>
      <c r="G43" s="29"/>
      <c r="I43" s="47"/>
      <c r="J43" s="47"/>
      <c r="L43" s="30"/>
      <c r="M43" s="53"/>
      <c r="V43" s="1"/>
    </row>
    <row r="44" spans="1:22" ht="12.75" hidden="1" customHeight="1">
      <c r="C44" s="1"/>
      <c r="D44" s="1"/>
      <c r="E44" s="1"/>
      <c r="F44" s="1"/>
      <c r="G44" s="1"/>
      <c r="H44" s="185"/>
      <c r="I44" s="47"/>
      <c r="J44" s="47"/>
      <c r="K44" s="11"/>
      <c r="L44" s="1"/>
      <c r="M44" s="53"/>
    </row>
    <row r="45" spans="1:22" ht="12.75" hidden="1" customHeight="1">
      <c r="C45" s="310" t="s">
        <v>123</v>
      </c>
      <c r="D45" s="310"/>
      <c r="E45" s="310"/>
      <c r="F45" s="19"/>
      <c r="H45" s="185"/>
      <c r="I45" s="47"/>
      <c r="J45" s="47"/>
      <c r="K45" s="19"/>
      <c r="O45" s="19"/>
    </row>
    <row r="46" spans="1:22" ht="23.25">
      <c r="A46" s="384" t="s">
        <v>253</v>
      </c>
      <c r="B46" s="385"/>
      <c r="C46" s="102" t="s">
        <v>5</v>
      </c>
      <c r="D46" s="102" t="s">
        <v>6</v>
      </c>
      <c r="E46" s="102" t="s">
        <v>7</v>
      </c>
      <c r="F46" s="102" t="s">
        <v>8</v>
      </c>
      <c r="G46" s="102" t="s">
        <v>9</v>
      </c>
      <c r="H46" s="102" t="s">
        <v>10</v>
      </c>
      <c r="I46" s="102" t="s">
        <v>11</v>
      </c>
      <c r="J46" s="102" t="s">
        <v>12</v>
      </c>
      <c r="K46" s="102" t="s">
        <v>132</v>
      </c>
      <c r="L46" s="102" t="s">
        <v>13</v>
      </c>
      <c r="M46" s="102" t="s">
        <v>14</v>
      </c>
      <c r="N46" s="102" t="s">
        <v>15</v>
      </c>
      <c r="O46" s="102" t="s">
        <v>16</v>
      </c>
      <c r="P46" s="102" t="s">
        <v>17</v>
      </c>
      <c r="Q46" s="102" t="s">
        <v>18</v>
      </c>
    </row>
    <row r="47" spans="1:22" s="164" customFormat="1">
      <c r="A47" s="341" t="s">
        <v>254</v>
      </c>
      <c r="B47" s="161" t="s">
        <v>255</v>
      </c>
      <c r="C47" s="162" t="e">
        <f>'COST SERVEI'!#REF!</f>
        <v>#REF!</v>
      </c>
      <c r="D47" s="163" t="e">
        <f>'COST SERVEI'!#REF!</f>
        <v>#REF!</v>
      </c>
      <c r="E47" s="163" t="e">
        <f>'COST SERVEI'!#REF!</f>
        <v>#REF!</v>
      </c>
      <c r="F47" s="163" t="e">
        <f>'COST SERVEI'!#REF!</f>
        <v>#REF!</v>
      </c>
      <c r="G47" s="163" t="e">
        <f>'COST SERVEI'!#REF!</f>
        <v>#REF!</v>
      </c>
      <c r="H47" s="163" t="e">
        <f>'COST SERVEI'!#REF!</f>
        <v>#REF!</v>
      </c>
      <c r="I47" s="163" t="e">
        <f>'COST SERVEI'!#REF!</f>
        <v>#REF!</v>
      </c>
      <c r="J47" s="163" t="e">
        <f>'COST SERVEI'!#REF!</f>
        <v>#REF!</v>
      </c>
      <c r="K47" s="163" t="e">
        <f>'COST SERVEI'!#REF!</f>
        <v>#REF!</v>
      </c>
      <c r="L47" s="163" t="e">
        <f>'COST SERVEI'!#REF!</f>
        <v>#REF!</v>
      </c>
      <c r="M47" s="163" t="e">
        <f>'COST SERVEI'!#REF!</f>
        <v>#REF!</v>
      </c>
      <c r="N47" s="163" t="e">
        <f>'COST SERVEI'!#REF!</f>
        <v>#REF!</v>
      </c>
      <c r="O47" s="163" t="e">
        <f>'COST SERVEI'!#REF!</f>
        <v>#REF!</v>
      </c>
      <c r="P47" s="163" t="e">
        <f>'COST SERVEI'!#REF!</f>
        <v>#REF!</v>
      </c>
      <c r="Q47" s="163">
        <f>'COST SERVEI'!Q5</f>
        <v>-2682184.3318259423</v>
      </c>
      <c r="R47" s="197"/>
      <c r="S47" s="197"/>
      <c r="T47" s="197"/>
    </row>
    <row r="48" spans="1:22" s="164" customFormat="1">
      <c r="A48" s="342"/>
      <c r="B48" s="166" t="s">
        <v>256</v>
      </c>
      <c r="C48" s="180" t="e">
        <f>'COST SERVEI'!#REF!</f>
        <v>#REF!</v>
      </c>
      <c r="D48" s="181" t="e">
        <f>'COST SERVEI'!#REF!</f>
        <v>#REF!</v>
      </c>
      <c r="E48" s="181" t="e">
        <f>'COST SERVEI'!#REF!</f>
        <v>#REF!</v>
      </c>
      <c r="F48" s="181" t="e">
        <f>'COST SERVEI'!#REF!</f>
        <v>#REF!</v>
      </c>
      <c r="G48" s="181" t="e">
        <f>'COST SERVEI'!#REF!</f>
        <v>#REF!</v>
      </c>
      <c r="H48" s="181" t="e">
        <f>'COST SERVEI'!#REF!</f>
        <v>#REF!</v>
      </c>
      <c r="I48" s="181" t="e">
        <f>'COST SERVEI'!#REF!</f>
        <v>#REF!</v>
      </c>
      <c r="J48" s="181" t="e">
        <f>'COST SERVEI'!#REF!</f>
        <v>#REF!</v>
      </c>
      <c r="K48" s="181" t="e">
        <f>'COST SERVEI'!#REF!</f>
        <v>#REF!</v>
      </c>
      <c r="L48" s="181" t="e">
        <f>'COST SERVEI'!#REF!</f>
        <v>#REF!</v>
      </c>
      <c r="M48" s="181" t="e">
        <f>'COST SERVEI'!#REF!</f>
        <v>#REF!</v>
      </c>
      <c r="N48" s="181" t="e">
        <f>'COST SERVEI'!#REF!</f>
        <v>#REF!</v>
      </c>
      <c r="O48" s="181" t="e">
        <f>'COST SERVEI'!#REF!</f>
        <v>#REF!</v>
      </c>
      <c r="P48" s="181" t="e">
        <f>'COST SERVEI'!#REF!</f>
        <v>#REF!</v>
      </c>
      <c r="Q48" s="181">
        <f>'COST SERVEI'!Q7</f>
        <v>-426989.56515221176</v>
      </c>
      <c r="R48" s="197"/>
      <c r="S48" s="197"/>
      <c r="T48" s="197"/>
    </row>
    <row r="49" spans="1:211" s="169" customFormat="1">
      <c r="A49" s="343"/>
      <c r="B49" s="167" t="s">
        <v>257</v>
      </c>
      <c r="C49" s="168" t="e">
        <f>SUM(C47:C48)</f>
        <v>#REF!</v>
      </c>
      <c r="D49" s="168" t="e">
        <f t="shared" ref="D49:P49" si="9">SUM(D47:D48)</f>
        <v>#REF!</v>
      </c>
      <c r="E49" s="168" t="e">
        <f t="shared" si="9"/>
        <v>#REF!</v>
      </c>
      <c r="F49" s="168" t="e">
        <f t="shared" si="9"/>
        <v>#REF!</v>
      </c>
      <c r="G49" s="168" t="e">
        <f t="shared" si="9"/>
        <v>#REF!</v>
      </c>
      <c r="H49" s="168" t="e">
        <f t="shared" si="9"/>
        <v>#REF!</v>
      </c>
      <c r="I49" s="168" t="e">
        <f t="shared" si="9"/>
        <v>#REF!</v>
      </c>
      <c r="J49" s="168" t="e">
        <f t="shared" si="9"/>
        <v>#REF!</v>
      </c>
      <c r="K49" s="168" t="e">
        <f t="shared" si="9"/>
        <v>#REF!</v>
      </c>
      <c r="L49" s="168" t="e">
        <f t="shared" si="9"/>
        <v>#REF!</v>
      </c>
      <c r="M49" s="168" t="e">
        <f t="shared" si="9"/>
        <v>#REF!</v>
      </c>
      <c r="N49" s="168" t="e">
        <f t="shared" si="9"/>
        <v>#REF!</v>
      </c>
      <c r="O49" s="168" t="e">
        <f t="shared" si="9"/>
        <v>#REF!</v>
      </c>
      <c r="P49" s="168" t="e">
        <f t="shared" si="9"/>
        <v>#REF!</v>
      </c>
      <c r="Q49" s="168">
        <f>Q47+Q48</f>
        <v>-3109173.8969781538</v>
      </c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  <c r="DT49" s="164"/>
      <c r="DU49" s="164"/>
      <c r="DV49" s="164"/>
      <c r="DW49" s="164"/>
      <c r="DX49" s="164"/>
      <c r="DY49" s="164"/>
      <c r="DZ49" s="164"/>
      <c r="EA49" s="164"/>
      <c r="EB49" s="164"/>
      <c r="EC49" s="164"/>
      <c r="ED49" s="164"/>
      <c r="EE49" s="164"/>
      <c r="EF49" s="164"/>
      <c r="EG49" s="164"/>
      <c r="EH49" s="164"/>
      <c r="EI49" s="164"/>
      <c r="EJ49" s="164"/>
      <c r="EK49" s="164"/>
      <c r="EL49" s="164"/>
      <c r="EM49" s="164"/>
      <c r="EN49" s="164"/>
      <c r="EO49" s="164"/>
      <c r="EP49" s="164"/>
      <c r="EQ49" s="164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  <c r="GK49" s="164"/>
      <c r="GL49" s="164"/>
      <c r="GM49" s="164"/>
      <c r="GN49" s="164"/>
      <c r="GO49" s="164"/>
      <c r="GP49" s="164"/>
      <c r="GQ49" s="164"/>
      <c r="GR49" s="164"/>
      <c r="GS49" s="164"/>
      <c r="GT49" s="164"/>
      <c r="GU49" s="164"/>
      <c r="GV49" s="164"/>
      <c r="GW49" s="164"/>
      <c r="GX49" s="164"/>
      <c r="GY49" s="164"/>
      <c r="GZ49" s="164"/>
      <c r="HA49" s="164"/>
      <c r="HB49" s="164"/>
      <c r="HC49" s="164"/>
    </row>
    <row r="50" spans="1:211" s="171" customFormat="1">
      <c r="A50" s="344" t="s">
        <v>258</v>
      </c>
      <c r="B50" s="170" t="s">
        <v>259</v>
      </c>
      <c r="C50" s="162">
        <f>'RECAPTACIÓ HABITATGES'!D26</f>
        <v>47803.434730100009</v>
      </c>
      <c r="D50" s="162">
        <f>'RECAPTACIÓ HABITATGES'!E26</f>
        <v>441953.28548070003</v>
      </c>
      <c r="E50" s="162">
        <f>'RECAPTACIÓ HABITATGES'!F26</f>
        <v>136841.0205638</v>
      </c>
      <c r="F50" s="162">
        <f>'RECAPTACIÓ HABITATGES'!G26</f>
        <v>38856.621141099997</v>
      </c>
      <c r="G50" s="162">
        <f>'RECAPTACIÓ HABITATGES'!H26</f>
        <v>92333.215273877417</v>
      </c>
      <c r="H50" s="162">
        <f>'RECAPTACIÓ HABITATGES'!I26</f>
        <v>97450.643248852124</v>
      </c>
      <c r="I50" s="162">
        <f>'RECAPTACIÓ HABITATGES'!J26</f>
        <v>193220.93529689999</v>
      </c>
      <c r="J50" s="162">
        <f>'RECAPTACIÓ HABITATGES'!K26</f>
        <v>32278.3673107</v>
      </c>
      <c r="K50" s="162" t="e">
        <f>'RECAPTACIÓ HABITATGES'!#REF!</f>
        <v>#REF!</v>
      </c>
      <c r="L50" s="162">
        <f>'RECAPTACIÓ HABITATGES'!L26</f>
        <v>282361.83895487967</v>
      </c>
      <c r="M50" s="162">
        <f>'RECAPTACIÓ HABITATGES'!M26</f>
        <v>288986.74693681963</v>
      </c>
      <c r="N50" s="162">
        <f>'RECAPTACIÓ HABITATGES'!N26</f>
        <v>42392.691800200002</v>
      </c>
      <c r="O50" s="162">
        <f>'RECAPTACIÓ HABITATGES'!O26</f>
        <v>285504.91347007814</v>
      </c>
      <c r="P50" s="162">
        <f>'RECAPTACIÓ HABITATGES'!P26</f>
        <v>416206.49138909677</v>
      </c>
      <c r="Q50" s="163">
        <f>'RECAPTACIÓ HABITATGES'!Q26</f>
        <v>2396190.2055971036</v>
      </c>
      <c r="R50" s="164"/>
      <c r="S50" s="164"/>
      <c r="T50" s="164"/>
      <c r="U50" s="383"/>
      <c r="V50" s="244">
        <f>0.02*Q54</f>
        <v>62163.225311942064</v>
      </c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4"/>
      <c r="BQ50" s="164"/>
      <c r="BR50" s="164"/>
      <c r="BS50" s="164"/>
      <c r="BT50" s="164"/>
      <c r="BU50" s="164"/>
      <c r="BV50" s="164"/>
      <c r="BW50" s="164"/>
      <c r="BX50" s="164"/>
      <c r="BY50" s="164"/>
      <c r="BZ50" s="164"/>
      <c r="CA50" s="164"/>
      <c r="CB50" s="164"/>
      <c r="CC50" s="164"/>
      <c r="CD50" s="164"/>
      <c r="CE50" s="164"/>
      <c r="CF50" s="164"/>
      <c r="CG50" s="164"/>
      <c r="CH50" s="164"/>
      <c r="CI50" s="164"/>
      <c r="CJ50" s="164"/>
      <c r="CK50" s="164"/>
      <c r="CL50" s="164"/>
      <c r="CM50" s="164"/>
      <c r="CN50" s="164"/>
      <c r="CO50" s="164"/>
      <c r="CP50" s="164"/>
      <c r="CQ50" s="164"/>
      <c r="CR50" s="164"/>
      <c r="CS50" s="164"/>
      <c r="CT50" s="164"/>
      <c r="CU50" s="164"/>
      <c r="CV50" s="164"/>
      <c r="CW50" s="164"/>
      <c r="CX50" s="164"/>
      <c r="CY50" s="164"/>
      <c r="CZ50" s="164"/>
      <c r="DA50" s="164"/>
      <c r="DB50" s="164"/>
      <c r="DC50" s="164"/>
      <c r="DD50" s="164"/>
      <c r="DE50" s="164"/>
      <c r="DF50" s="164"/>
      <c r="DG50" s="164"/>
      <c r="DH50" s="164"/>
      <c r="DI50" s="164"/>
      <c r="DJ50" s="164"/>
      <c r="DK50" s="164"/>
      <c r="DL50" s="164"/>
      <c r="DM50" s="164"/>
      <c r="DN50" s="164"/>
      <c r="DO50" s="164"/>
      <c r="DP50" s="164"/>
      <c r="DQ50" s="164"/>
      <c r="DR50" s="164"/>
      <c r="DS50" s="164"/>
      <c r="DT50" s="164"/>
      <c r="DU50" s="164"/>
      <c r="DV50" s="164"/>
      <c r="DW50" s="164"/>
      <c r="DX50" s="164"/>
      <c r="DY50" s="164"/>
      <c r="DZ50" s="164"/>
      <c r="EA50" s="164"/>
      <c r="EB50" s="164"/>
      <c r="EC50" s="164"/>
      <c r="ED50" s="164"/>
      <c r="EE50" s="164"/>
      <c r="EF50" s="164"/>
      <c r="EG50" s="164"/>
      <c r="EH50" s="164"/>
      <c r="EI50" s="164"/>
      <c r="EJ50" s="164"/>
      <c r="EK50" s="164"/>
      <c r="EL50" s="164"/>
      <c r="EM50" s="164"/>
      <c r="EN50" s="164"/>
      <c r="EO50" s="164"/>
      <c r="EP50" s="164"/>
      <c r="EQ50" s="164"/>
      <c r="ER50" s="164"/>
      <c r="ES50" s="164"/>
      <c r="ET50" s="164"/>
      <c r="EU50" s="164"/>
      <c r="EV50" s="164"/>
      <c r="EW50" s="164"/>
      <c r="EX50" s="164"/>
      <c r="EY50" s="164"/>
      <c r="EZ50" s="164"/>
      <c r="FA50" s="164"/>
      <c r="FB50" s="164"/>
      <c r="FC50" s="164"/>
      <c r="FD50" s="164"/>
      <c r="FE50" s="164"/>
      <c r="FF50" s="164"/>
      <c r="FG50" s="164"/>
      <c r="FH50" s="164"/>
      <c r="FI50" s="164"/>
      <c r="FJ50" s="164"/>
      <c r="FK50" s="164"/>
      <c r="FL50" s="164"/>
      <c r="FM50" s="164"/>
      <c r="FN50" s="164"/>
      <c r="FO50" s="164"/>
      <c r="FP50" s="164"/>
      <c r="FQ50" s="164"/>
      <c r="FR50" s="164"/>
      <c r="FS50" s="164"/>
      <c r="FT50" s="164"/>
      <c r="FU50" s="164"/>
      <c r="FV50" s="164"/>
      <c r="FW50" s="164"/>
      <c r="FX50" s="164"/>
      <c r="FY50" s="164"/>
      <c r="FZ50" s="164"/>
      <c r="GA50" s="164"/>
      <c r="GB50" s="164"/>
      <c r="GC50" s="164"/>
      <c r="GD50" s="164"/>
      <c r="GE50" s="164"/>
      <c r="GF50" s="164"/>
      <c r="GG50" s="164"/>
      <c r="GH50" s="164"/>
      <c r="GI50" s="164"/>
      <c r="GJ50" s="164"/>
      <c r="GK50" s="164"/>
      <c r="GL50" s="164"/>
      <c r="GM50" s="164"/>
      <c r="GN50" s="164"/>
      <c r="GO50" s="164"/>
      <c r="GP50" s="164"/>
      <c r="GQ50" s="164"/>
      <c r="GR50" s="164"/>
      <c r="GS50" s="164"/>
      <c r="GT50" s="164"/>
      <c r="GU50" s="164"/>
      <c r="GV50" s="164"/>
      <c r="GW50" s="164"/>
      <c r="GX50" s="164"/>
      <c r="GY50" s="164"/>
      <c r="GZ50" s="164"/>
      <c r="HA50" s="164"/>
      <c r="HB50" s="164"/>
      <c r="HC50" s="164"/>
    </row>
    <row r="51" spans="1:211" s="171" customFormat="1">
      <c r="A51" s="386"/>
      <c r="B51" s="194" t="s">
        <v>260</v>
      </c>
      <c r="C51" s="195"/>
      <c r="D51" s="195"/>
      <c r="E51" s="195"/>
      <c r="F51" s="196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>
        <f>'RECAPTACIÓ HABITATGES'!D31</f>
        <v>172540.9</v>
      </c>
      <c r="R51" s="164"/>
      <c r="S51" s="164"/>
      <c r="T51" s="164"/>
      <c r="U51" s="383"/>
      <c r="V51" s="24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4"/>
      <c r="BR51" s="164"/>
      <c r="BS51" s="164"/>
      <c r="BT51" s="164"/>
      <c r="BU51" s="164"/>
      <c r="BV51" s="164"/>
      <c r="BW51" s="164"/>
      <c r="BX51" s="164"/>
      <c r="BY51" s="164"/>
      <c r="BZ51" s="164"/>
      <c r="CA51" s="164"/>
      <c r="CB51" s="164"/>
      <c r="CC51" s="164"/>
      <c r="CD51" s="164"/>
      <c r="CE51" s="164"/>
      <c r="CF51" s="164"/>
      <c r="CG51" s="164"/>
      <c r="CH51" s="164"/>
      <c r="CI51" s="164"/>
      <c r="CJ51" s="164"/>
      <c r="CK51" s="164"/>
      <c r="CL51" s="164"/>
      <c r="CM51" s="164"/>
      <c r="CN51" s="164"/>
      <c r="CO51" s="164"/>
      <c r="CP51" s="164"/>
      <c r="CQ51" s="164"/>
      <c r="CR51" s="164"/>
      <c r="CS51" s="164"/>
      <c r="CT51" s="164"/>
      <c r="CU51" s="164"/>
      <c r="CV51" s="164"/>
      <c r="CW51" s="164"/>
      <c r="CX51" s="164"/>
      <c r="CY51" s="164"/>
      <c r="CZ51" s="164"/>
      <c r="DA51" s="164"/>
      <c r="DB51" s="164"/>
      <c r="DC51" s="164"/>
      <c r="DD51" s="164"/>
      <c r="DE51" s="164"/>
      <c r="DF51" s="164"/>
      <c r="DG51" s="164"/>
      <c r="DH51" s="164"/>
      <c r="DI51" s="164"/>
      <c r="DJ51" s="164"/>
      <c r="DK51" s="164"/>
      <c r="DL51" s="164"/>
      <c r="DM51" s="164"/>
      <c r="DN51" s="164"/>
      <c r="DO51" s="164"/>
      <c r="DP51" s="164"/>
      <c r="DQ51" s="164"/>
      <c r="DR51" s="164"/>
      <c r="DS51" s="164"/>
      <c r="DT51" s="164"/>
      <c r="DU51" s="164"/>
      <c r="DV51" s="164"/>
      <c r="DW51" s="164"/>
      <c r="DX51" s="164"/>
      <c r="DY51" s="164"/>
      <c r="DZ51" s="164"/>
      <c r="EA51" s="164"/>
      <c r="EB51" s="164"/>
      <c r="EC51" s="164"/>
      <c r="ED51" s="164"/>
      <c r="EE51" s="164"/>
      <c r="EF51" s="164"/>
      <c r="EG51" s="164"/>
      <c r="EH51" s="164"/>
      <c r="EI51" s="164"/>
      <c r="EJ51" s="164"/>
      <c r="EK51" s="164"/>
      <c r="EL51" s="164"/>
      <c r="EM51" s="164"/>
      <c r="EN51" s="164"/>
      <c r="EO51" s="164"/>
      <c r="EP51" s="164"/>
      <c r="EQ51" s="164"/>
      <c r="ER51" s="164"/>
      <c r="ES51" s="164"/>
      <c r="ET51" s="164"/>
      <c r="EU51" s="164"/>
      <c r="EV51" s="164"/>
      <c r="EW51" s="164"/>
      <c r="EX51" s="164"/>
      <c r="EY51" s="164"/>
      <c r="EZ51" s="164"/>
      <c r="FA51" s="164"/>
      <c r="FB51" s="164"/>
      <c r="FC51" s="164"/>
      <c r="FD51" s="164"/>
      <c r="FE51" s="164"/>
      <c r="FF51" s="164"/>
      <c r="FG51" s="164"/>
      <c r="FH51" s="164"/>
      <c r="FI51" s="164"/>
      <c r="FJ51" s="164"/>
      <c r="FK51" s="164"/>
      <c r="FL51" s="164"/>
      <c r="FM51" s="164"/>
      <c r="FN51" s="164"/>
      <c r="FO51" s="164"/>
      <c r="FP51" s="164"/>
      <c r="FQ51" s="164"/>
      <c r="FR51" s="164"/>
      <c r="FS51" s="164"/>
      <c r="FT51" s="164"/>
      <c r="FU51" s="164"/>
      <c r="FV51" s="164"/>
      <c r="FW51" s="164"/>
      <c r="FX51" s="164"/>
      <c r="FY51" s="164"/>
      <c r="FZ51" s="164"/>
      <c r="GA51" s="164"/>
      <c r="GB51" s="164"/>
      <c r="GC51" s="164"/>
      <c r="GD51" s="164"/>
      <c r="GE51" s="164"/>
      <c r="GF51" s="164"/>
      <c r="GG51" s="164"/>
      <c r="GH51" s="164"/>
      <c r="GI51" s="164"/>
      <c r="GJ51" s="164"/>
      <c r="GK51" s="164"/>
      <c r="GL51" s="164"/>
      <c r="GM51" s="164"/>
      <c r="GN51" s="164"/>
      <c r="GO51" s="164"/>
      <c r="GP51" s="164"/>
      <c r="GQ51" s="164"/>
      <c r="GR51" s="164"/>
      <c r="GS51" s="164"/>
      <c r="GT51" s="164"/>
      <c r="GU51" s="164"/>
      <c r="GV51" s="164"/>
      <c r="GW51" s="164"/>
      <c r="GX51" s="164"/>
      <c r="GY51" s="164"/>
      <c r="GZ51" s="164"/>
      <c r="HA51" s="164"/>
      <c r="HB51" s="164"/>
      <c r="HC51" s="164"/>
    </row>
    <row r="52" spans="1:211" s="171" customFormat="1">
      <c r="A52" s="386"/>
      <c r="B52" s="194" t="s">
        <v>261</v>
      </c>
      <c r="C52" s="195" t="e">
        <f>'RECAPTACIÓ COMERCIAL '!#REF!</f>
        <v>#REF!</v>
      </c>
      <c r="D52" s="195" t="e">
        <f>SUM('RECAPTACIÓ COMERCIAL '!#REF!,'RECAPTACIÓ COMERCIAL '!#REF!)</f>
        <v>#REF!</v>
      </c>
      <c r="E52" s="195" t="e">
        <f>'RECAPTACIÓ COMERCIAL '!#REF!</f>
        <v>#REF!</v>
      </c>
      <c r="F52" s="196" t="e">
        <f>'RECAPTACIÓ COMERCIAL '!#REF!</f>
        <v>#REF!</v>
      </c>
      <c r="G52" s="195" t="e">
        <f>'RECAPTACIÓ COMERCIAL '!#REF!</f>
        <v>#REF!</v>
      </c>
      <c r="H52" s="195" t="e">
        <f>'RECAPTACIÓ COMERCIAL '!#REF!</f>
        <v>#REF!</v>
      </c>
      <c r="I52" s="195" t="e">
        <f>'RECAPTACIÓ COMERCIAL '!#REF!</f>
        <v>#REF!</v>
      </c>
      <c r="J52" s="195" t="e">
        <f>'RECAPTACIÓ COMERCIAL '!#REF!</f>
        <v>#REF!</v>
      </c>
      <c r="K52" s="195" t="e">
        <f>'RECAPTACIÓ COMERCIAL '!#REF!</f>
        <v>#REF!</v>
      </c>
      <c r="L52" s="195" t="e">
        <f>'RECAPTACIÓ COMERCIAL '!#REF!</f>
        <v>#REF!</v>
      </c>
      <c r="M52" s="195" t="e">
        <f>'RECAPTACIÓ COMERCIAL '!#REF!</f>
        <v>#REF!</v>
      </c>
      <c r="N52" s="195" t="e">
        <f>'RECAPTACIÓ COMERCIAL '!#REF!</f>
        <v>#REF!</v>
      </c>
      <c r="O52" s="195" t="e">
        <f>SUM('RECAPTACIÓ COMERCIAL '!#REF!,'RECAPTACIÓ COMERCIAL '!#REF!)</f>
        <v>#REF!</v>
      </c>
      <c r="P52" s="195" t="e">
        <f>'RECAPTACIÓ COMERCIAL '!#REF!</f>
        <v>#REF!</v>
      </c>
      <c r="Q52" s="195">
        <f>'RECAPTACIÓ COMERCIAL '!J48</f>
        <v>526794.40000000014</v>
      </c>
      <c r="R52" s="164"/>
      <c r="S52" s="164"/>
      <c r="T52" s="164"/>
      <c r="U52" s="216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4"/>
      <c r="BR52" s="164"/>
      <c r="BS52" s="164"/>
      <c r="BT52" s="164"/>
      <c r="BU52" s="164"/>
      <c r="BV52" s="164"/>
      <c r="BW52" s="164"/>
      <c r="BX52" s="164"/>
      <c r="BY52" s="164"/>
      <c r="BZ52" s="164"/>
      <c r="CA52" s="164"/>
      <c r="CB52" s="164"/>
      <c r="CC52" s="164"/>
      <c r="CD52" s="164"/>
      <c r="CE52" s="164"/>
      <c r="CF52" s="164"/>
      <c r="CG52" s="164"/>
      <c r="CH52" s="164"/>
      <c r="CI52" s="164"/>
      <c r="CJ52" s="164"/>
      <c r="CK52" s="164"/>
      <c r="CL52" s="164"/>
      <c r="CM52" s="164"/>
      <c r="CN52" s="164"/>
      <c r="CO52" s="164"/>
      <c r="CP52" s="164"/>
      <c r="CQ52" s="164"/>
      <c r="CR52" s="164"/>
      <c r="CS52" s="164"/>
      <c r="CT52" s="164"/>
      <c r="CU52" s="164"/>
      <c r="CV52" s="164"/>
      <c r="CW52" s="164"/>
      <c r="CX52" s="164"/>
      <c r="CY52" s="164"/>
      <c r="CZ52" s="164"/>
      <c r="DA52" s="164"/>
      <c r="DB52" s="164"/>
      <c r="DC52" s="164"/>
      <c r="DD52" s="164"/>
      <c r="DE52" s="164"/>
      <c r="DF52" s="164"/>
      <c r="DG52" s="164"/>
      <c r="DH52" s="164"/>
      <c r="DI52" s="164"/>
      <c r="DJ52" s="164"/>
      <c r="DK52" s="164"/>
      <c r="DL52" s="164"/>
      <c r="DM52" s="164"/>
      <c r="DN52" s="164"/>
      <c r="DO52" s="164"/>
      <c r="DP52" s="164"/>
      <c r="DQ52" s="164"/>
      <c r="DR52" s="164"/>
      <c r="DS52" s="164"/>
      <c r="DT52" s="164"/>
      <c r="DU52" s="164"/>
      <c r="DV52" s="164"/>
      <c r="DW52" s="164"/>
      <c r="DX52" s="164"/>
      <c r="DY52" s="164"/>
      <c r="DZ52" s="164"/>
      <c r="EA52" s="164"/>
      <c r="EB52" s="164"/>
      <c r="EC52" s="164"/>
      <c r="ED52" s="164"/>
      <c r="EE52" s="164"/>
      <c r="EF52" s="164"/>
      <c r="EG52" s="164"/>
      <c r="EH52" s="164"/>
      <c r="EI52" s="164"/>
      <c r="EJ52" s="164"/>
      <c r="EK52" s="164"/>
      <c r="EL52" s="164"/>
      <c r="EM52" s="164"/>
      <c r="EN52" s="164"/>
      <c r="EO52" s="164"/>
      <c r="EP52" s="164"/>
      <c r="EQ52" s="164"/>
      <c r="ER52" s="164"/>
      <c r="ES52" s="164"/>
      <c r="ET52" s="164"/>
      <c r="EU52" s="164"/>
      <c r="EV52" s="164"/>
      <c r="EW52" s="164"/>
      <c r="EX52" s="164"/>
      <c r="EY52" s="164"/>
      <c r="EZ52" s="164"/>
      <c r="FA52" s="164"/>
      <c r="FB52" s="164"/>
      <c r="FC52" s="164"/>
      <c r="FD52" s="164"/>
      <c r="FE52" s="164"/>
      <c r="FF52" s="164"/>
      <c r="FG52" s="164"/>
      <c r="FH52" s="164"/>
      <c r="FI52" s="164"/>
      <c r="FJ52" s="164"/>
      <c r="FK52" s="164"/>
      <c r="FL52" s="164"/>
      <c r="FM52" s="164"/>
      <c r="FN52" s="164"/>
      <c r="FO52" s="164"/>
      <c r="FP52" s="164"/>
      <c r="FQ52" s="164"/>
      <c r="FR52" s="164"/>
      <c r="FS52" s="164"/>
      <c r="FT52" s="164"/>
      <c r="FU52" s="164"/>
      <c r="FV52" s="164"/>
      <c r="FW52" s="164"/>
      <c r="FX52" s="164"/>
      <c r="FY52" s="164"/>
      <c r="FZ52" s="164"/>
      <c r="GA52" s="164"/>
      <c r="GB52" s="164"/>
      <c r="GC52" s="164"/>
      <c r="GD52" s="164"/>
      <c r="GE52" s="164"/>
      <c r="GF52" s="164"/>
      <c r="GG52" s="164"/>
      <c r="GH52" s="164"/>
      <c r="GI52" s="164"/>
      <c r="GJ52" s="164"/>
      <c r="GK52" s="164"/>
      <c r="GL52" s="164"/>
      <c r="GM52" s="164"/>
      <c r="GN52" s="164"/>
      <c r="GO52" s="164"/>
      <c r="GP52" s="164"/>
      <c r="GQ52" s="164"/>
      <c r="GR52" s="164"/>
      <c r="GS52" s="164"/>
      <c r="GT52" s="164"/>
      <c r="GU52" s="164"/>
      <c r="GV52" s="164"/>
      <c r="GW52" s="164"/>
      <c r="GX52" s="164"/>
      <c r="GY52" s="164"/>
      <c r="GZ52" s="164"/>
      <c r="HA52" s="164"/>
      <c r="HB52" s="164"/>
      <c r="HC52" s="164"/>
    </row>
    <row r="53" spans="1:211" s="171" customFormat="1">
      <c r="A53" s="386"/>
      <c r="B53" s="194" t="s">
        <v>262</v>
      </c>
      <c r="C53" s="195"/>
      <c r="D53" s="195"/>
      <c r="E53" s="195"/>
      <c r="F53" s="196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>
        <f>'RECAPTACIÓ COMERCIAL '!B63</f>
        <v>12635.76</v>
      </c>
      <c r="R53" s="164"/>
      <c r="S53" s="164"/>
      <c r="T53" s="164"/>
      <c r="U53" s="216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4"/>
      <c r="BR53" s="164"/>
      <c r="BS53" s="164"/>
      <c r="BT53" s="164"/>
      <c r="BU53" s="164"/>
      <c r="BV53" s="164"/>
      <c r="BW53" s="164"/>
      <c r="BX53" s="164"/>
      <c r="BY53" s="164"/>
      <c r="BZ53" s="164"/>
      <c r="CA53" s="164"/>
      <c r="CB53" s="164"/>
      <c r="CC53" s="164"/>
      <c r="CD53" s="164"/>
      <c r="CE53" s="164"/>
      <c r="CF53" s="164"/>
      <c r="CG53" s="164"/>
      <c r="CH53" s="164"/>
      <c r="CI53" s="164"/>
      <c r="CJ53" s="164"/>
      <c r="CK53" s="164"/>
      <c r="CL53" s="164"/>
      <c r="CM53" s="164"/>
      <c r="CN53" s="164"/>
      <c r="CO53" s="164"/>
      <c r="CP53" s="164"/>
      <c r="CQ53" s="164"/>
      <c r="CR53" s="164"/>
      <c r="CS53" s="164"/>
      <c r="CT53" s="164"/>
      <c r="CU53" s="164"/>
      <c r="CV53" s="164"/>
      <c r="CW53" s="164"/>
      <c r="CX53" s="164"/>
      <c r="CY53" s="164"/>
      <c r="CZ53" s="164"/>
      <c r="DA53" s="164"/>
      <c r="DB53" s="164"/>
      <c r="DC53" s="164"/>
      <c r="DD53" s="164"/>
      <c r="DE53" s="164"/>
      <c r="DF53" s="164"/>
      <c r="DG53" s="164"/>
      <c r="DH53" s="164"/>
      <c r="DI53" s="164"/>
      <c r="DJ53" s="164"/>
      <c r="DK53" s="164"/>
      <c r="DL53" s="164"/>
      <c r="DM53" s="164"/>
      <c r="DN53" s="164"/>
      <c r="DO53" s="164"/>
      <c r="DP53" s="164"/>
      <c r="DQ53" s="164"/>
      <c r="DR53" s="164"/>
      <c r="DS53" s="164"/>
      <c r="DT53" s="164"/>
      <c r="DU53" s="164"/>
      <c r="DV53" s="164"/>
      <c r="DW53" s="164"/>
      <c r="DX53" s="164"/>
      <c r="DY53" s="164"/>
      <c r="DZ53" s="164"/>
      <c r="EA53" s="164"/>
      <c r="EB53" s="164"/>
      <c r="EC53" s="164"/>
      <c r="ED53" s="164"/>
      <c r="EE53" s="164"/>
      <c r="EF53" s="164"/>
      <c r="EG53" s="164"/>
      <c r="EH53" s="164"/>
      <c r="EI53" s="164"/>
      <c r="EJ53" s="164"/>
      <c r="EK53" s="164"/>
      <c r="EL53" s="164"/>
      <c r="EM53" s="164"/>
      <c r="EN53" s="164"/>
      <c r="EO53" s="164"/>
      <c r="EP53" s="164"/>
      <c r="EQ53" s="164"/>
      <c r="ER53" s="164"/>
      <c r="ES53" s="164"/>
      <c r="ET53" s="164"/>
      <c r="EU53" s="164"/>
      <c r="EV53" s="164"/>
      <c r="EW53" s="164"/>
      <c r="EX53" s="164"/>
      <c r="EY53" s="164"/>
      <c r="EZ53" s="164"/>
      <c r="FA53" s="164"/>
      <c r="FB53" s="164"/>
      <c r="FC53" s="164"/>
      <c r="FD53" s="164"/>
      <c r="FE53" s="164"/>
      <c r="FF53" s="164"/>
      <c r="FG53" s="164"/>
      <c r="FH53" s="164"/>
      <c r="FI53" s="164"/>
      <c r="FJ53" s="164"/>
      <c r="FK53" s="164"/>
      <c r="FL53" s="164"/>
      <c r="FM53" s="164"/>
      <c r="FN53" s="164"/>
      <c r="FO53" s="164"/>
      <c r="FP53" s="164"/>
      <c r="FQ53" s="164"/>
      <c r="FR53" s="164"/>
      <c r="FS53" s="164"/>
      <c r="FT53" s="164"/>
      <c r="FU53" s="164"/>
      <c r="FV53" s="164"/>
      <c r="FW53" s="164"/>
      <c r="FX53" s="164"/>
      <c r="FY53" s="164"/>
      <c r="FZ53" s="164"/>
      <c r="GA53" s="164"/>
      <c r="GB53" s="164"/>
      <c r="GC53" s="164"/>
      <c r="GD53" s="164"/>
      <c r="GE53" s="164"/>
      <c r="GF53" s="164"/>
      <c r="GG53" s="164"/>
      <c r="GH53" s="164"/>
      <c r="GI53" s="164"/>
      <c r="GJ53" s="164"/>
      <c r="GK53" s="164"/>
      <c r="GL53" s="164"/>
      <c r="GM53" s="164"/>
      <c r="GN53" s="164"/>
      <c r="GO53" s="164"/>
      <c r="GP53" s="164"/>
      <c r="GQ53" s="164"/>
      <c r="GR53" s="164"/>
      <c r="GS53" s="164"/>
      <c r="GT53" s="164"/>
      <c r="GU53" s="164"/>
      <c r="GV53" s="164"/>
      <c r="GW53" s="164"/>
      <c r="GX53" s="164"/>
      <c r="GY53" s="164"/>
      <c r="GZ53" s="164"/>
      <c r="HA53" s="164"/>
      <c r="HB53" s="164"/>
      <c r="HC53" s="164"/>
    </row>
    <row r="54" spans="1:211" s="171" customFormat="1">
      <c r="A54" s="345"/>
      <c r="B54" s="182" t="s">
        <v>263</v>
      </c>
      <c r="C54" s="173" t="e">
        <f t="shared" ref="C54:P54" si="10">SUM(C50:C52)</f>
        <v>#REF!</v>
      </c>
      <c r="D54" s="173" t="e">
        <f t="shared" si="10"/>
        <v>#REF!</v>
      </c>
      <c r="E54" s="173" t="e">
        <f t="shared" si="10"/>
        <v>#REF!</v>
      </c>
      <c r="F54" s="173" t="e">
        <f t="shared" si="10"/>
        <v>#REF!</v>
      </c>
      <c r="G54" s="173" t="e">
        <f t="shared" si="10"/>
        <v>#REF!</v>
      </c>
      <c r="H54" s="173" t="e">
        <f t="shared" si="10"/>
        <v>#REF!</v>
      </c>
      <c r="I54" s="173" t="e">
        <f t="shared" si="10"/>
        <v>#REF!</v>
      </c>
      <c r="J54" s="173" t="e">
        <f t="shared" si="10"/>
        <v>#REF!</v>
      </c>
      <c r="K54" s="173" t="e">
        <f t="shared" si="10"/>
        <v>#REF!</v>
      </c>
      <c r="L54" s="173" t="e">
        <f t="shared" si="10"/>
        <v>#REF!</v>
      </c>
      <c r="M54" s="173" t="e">
        <f t="shared" si="10"/>
        <v>#REF!</v>
      </c>
      <c r="N54" s="173" t="e">
        <f t="shared" si="10"/>
        <v>#REF!</v>
      </c>
      <c r="O54" s="173" t="e">
        <f t="shared" si="10"/>
        <v>#REF!</v>
      </c>
      <c r="P54" s="173" t="e">
        <f t="shared" si="10"/>
        <v>#REF!</v>
      </c>
      <c r="Q54" s="173">
        <f>SUM(Q50:Q53)</f>
        <v>3108161.2655971032</v>
      </c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4"/>
      <c r="BR54" s="164"/>
      <c r="BS54" s="164"/>
      <c r="BT54" s="164"/>
      <c r="BU54" s="164"/>
      <c r="BV54" s="164"/>
      <c r="BW54" s="164"/>
      <c r="BX54" s="164"/>
      <c r="BY54" s="164"/>
      <c r="BZ54" s="164"/>
      <c r="CA54" s="164"/>
      <c r="CB54" s="164"/>
      <c r="CC54" s="164"/>
      <c r="CD54" s="164"/>
      <c r="CE54" s="164"/>
      <c r="CF54" s="164"/>
      <c r="CG54" s="164"/>
      <c r="CH54" s="164"/>
      <c r="CI54" s="164"/>
      <c r="CJ54" s="164"/>
      <c r="CK54" s="164"/>
      <c r="CL54" s="164"/>
      <c r="CM54" s="164"/>
      <c r="CN54" s="164"/>
      <c r="CO54" s="164"/>
      <c r="CP54" s="164"/>
      <c r="CQ54" s="164"/>
      <c r="CR54" s="164"/>
      <c r="CS54" s="164"/>
      <c r="CT54" s="164"/>
      <c r="CU54" s="164"/>
      <c r="CV54" s="164"/>
      <c r="CW54" s="164"/>
      <c r="CX54" s="164"/>
      <c r="CY54" s="164"/>
      <c r="CZ54" s="164"/>
      <c r="DA54" s="164"/>
      <c r="DB54" s="164"/>
      <c r="DC54" s="164"/>
      <c r="DD54" s="164"/>
      <c r="DE54" s="164"/>
      <c r="DF54" s="164"/>
      <c r="DG54" s="164"/>
      <c r="DH54" s="164"/>
      <c r="DI54" s="164"/>
      <c r="DJ54" s="164"/>
      <c r="DK54" s="164"/>
      <c r="DL54" s="164"/>
      <c r="DM54" s="164"/>
      <c r="DN54" s="164"/>
      <c r="DO54" s="164"/>
      <c r="DP54" s="164"/>
      <c r="DQ54" s="164"/>
      <c r="DR54" s="164"/>
      <c r="DS54" s="164"/>
      <c r="DT54" s="164"/>
      <c r="DU54" s="164"/>
      <c r="DV54" s="164"/>
      <c r="DW54" s="164"/>
      <c r="DX54" s="164"/>
      <c r="DY54" s="164"/>
      <c r="DZ54" s="164"/>
      <c r="EA54" s="164"/>
      <c r="EB54" s="164"/>
      <c r="EC54" s="164"/>
      <c r="ED54" s="164"/>
      <c r="EE54" s="164"/>
      <c r="EF54" s="164"/>
      <c r="EG54" s="164"/>
      <c r="EH54" s="164"/>
      <c r="EI54" s="164"/>
      <c r="EJ54" s="164"/>
      <c r="EK54" s="164"/>
      <c r="EL54" s="164"/>
      <c r="EM54" s="164"/>
      <c r="EN54" s="164"/>
      <c r="EO54" s="164"/>
      <c r="EP54" s="164"/>
      <c r="EQ54" s="164"/>
      <c r="ER54" s="164"/>
      <c r="ES54" s="164"/>
      <c r="ET54" s="164"/>
      <c r="EU54" s="164"/>
      <c r="EV54" s="164"/>
      <c r="EW54" s="164"/>
      <c r="EX54" s="164"/>
      <c r="EY54" s="164"/>
      <c r="EZ54" s="164"/>
      <c r="FA54" s="164"/>
      <c r="FB54" s="164"/>
      <c r="FC54" s="164"/>
      <c r="FD54" s="164"/>
      <c r="FE54" s="164"/>
      <c r="FF54" s="164"/>
      <c r="FG54" s="164"/>
      <c r="FH54" s="164"/>
      <c r="FI54" s="164"/>
      <c r="FJ54" s="164"/>
      <c r="FK54" s="164"/>
      <c r="FL54" s="164"/>
      <c r="FM54" s="164"/>
      <c r="FN54" s="164"/>
      <c r="FO54" s="164"/>
      <c r="FP54" s="164"/>
      <c r="FQ54" s="164"/>
      <c r="FR54" s="164"/>
      <c r="FS54" s="164"/>
      <c r="FT54" s="164"/>
      <c r="FU54" s="164"/>
      <c r="FV54" s="164"/>
      <c r="FW54" s="164"/>
      <c r="FX54" s="164"/>
      <c r="FY54" s="164"/>
      <c r="FZ54" s="164"/>
      <c r="GA54" s="164"/>
      <c r="GB54" s="164"/>
      <c r="GC54" s="164"/>
      <c r="GD54" s="164"/>
      <c r="GE54" s="164"/>
      <c r="GF54" s="164"/>
      <c r="GG54" s="164"/>
      <c r="GH54" s="164"/>
      <c r="GI54" s="164"/>
      <c r="GJ54" s="164"/>
      <c r="GK54" s="164"/>
      <c r="GL54" s="164"/>
      <c r="GM54" s="164"/>
      <c r="GN54" s="164"/>
      <c r="GO54" s="164"/>
      <c r="GP54" s="164"/>
      <c r="GQ54" s="164"/>
      <c r="GR54" s="164"/>
      <c r="GS54" s="164"/>
      <c r="GT54" s="164"/>
      <c r="GU54" s="164"/>
      <c r="GV54" s="164"/>
      <c r="GW54" s="164"/>
      <c r="GX54" s="164"/>
      <c r="GY54" s="164"/>
      <c r="GZ54" s="164"/>
      <c r="HA54" s="164"/>
      <c r="HB54" s="164"/>
      <c r="HC54" s="164"/>
    </row>
    <row r="55" spans="1:211" s="164" customFormat="1" ht="12.75" customHeight="1">
      <c r="A55" s="174" t="s">
        <v>18</v>
      </c>
      <c r="B55" s="175" t="s">
        <v>264</v>
      </c>
      <c r="C55" s="176" t="e">
        <f t="shared" ref="C55:Q55" si="11">C49+C54</f>
        <v>#REF!</v>
      </c>
      <c r="D55" s="176" t="e">
        <f t="shared" si="11"/>
        <v>#REF!</v>
      </c>
      <c r="E55" s="176" t="e">
        <f t="shared" si="11"/>
        <v>#REF!</v>
      </c>
      <c r="F55" s="176" t="e">
        <f t="shared" si="11"/>
        <v>#REF!</v>
      </c>
      <c r="G55" s="176" t="e">
        <f t="shared" si="11"/>
        <v>#REF!</v>
      </c>
      <c r="H55" s="176" t="e">
        <f t="shared" si="11"/>
        <v>#REF!</v>
      </c>
      <c r="I55" s="176" t="e">
        <f t="shared" si="11"/>
        <v>#REF!</v>
      </c>
      <c r="J55" s="176" t="e">
        <f t="shared" si="11"/>
        <v>#REF!</v>
      </c>
      <c r="K55" s="176" t="e">
        <f t="shared" si="11"/>
        <v>#REF!</v>
      </c>
      <c r="L55" s="176" t="e">
        <f t="shared" si="11"/>
        <v>#REF!</v>
      </c>
      <c r="M55" s="176" t="e">
        <f t="shared" si="11"/>
        <v>#REF!</v>
      </c>
      <c r="N55" s="176" t="e">
        <f t="shared" si="11"/>
        <v>#REF!</v>
      </c>
      <c r="O55" s="176" t="e">
        <f t="shared" si="11"/>
        <v>#REF!</v>
      </c>
      <c r="P55" s="176" t="e">
        <f t="shared" si="11"/>
        <v>#REF!</v>
      </c>
      <c r="Q55" s="176">
        <f t="shared" si="11"/>
        <v>-1012.6313810506836</v>
      </c>
      <c r="R55" s="184"/>
      <c r="S55" s="184"/>
      <c r="T55" s="184"/>
    </row>
    <row r="56" spans="1:211" ht="12.75" customHeight="1">
      <c r="A56" s="159"/>
      <c r="B56" s="63"/>
      <c r="C56" s="67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11"/>
    </row>
    <row r="58" spans="1:211">
      <c r="Q58" s="11"/>
    </row>
    <row r="63" spans="1:211">
      <c r="U63" s="39"/>
    </row>
  </sheetData>
  <sheetProtection sheet="1" objects="1" scenarios="1" selectLockedCells="1" selectUnlockedCells="1"/>
  <mergeCells count="12">
    <mergeCell ref="D1:G1"/>
    <mergeCell ref="I2:L2"/>
    <mergeCell ref="U2:V2"/>
    <mergeCell ref="H25:I25"/>
    <mergeCell ref="J25:K25"/>
    <mergeCell ref="M25:N25"/>
    <mergeCell ref="U50:U51"/>
    <mergeCell ref="G26:I26"/>
    <mergeCell ref="C45:E45"/>
    <mergeCell ref="A46:B46"/>
    <mergeCell ref="A47:A49"/>
    <mergeCell ref="A50:A54"/>
  </mergeCells>
  <conditionalFormatting sqref="Q5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55:P5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</dc:creator>
  <cp:keywords/>
  <dc:description/>
  <cp:lastModifiedBy>Pau Casanovas [Àrea de Medi Ambient - Consell Comarcal del Gironès]</cp:lastModifiedBy>
  <cp:revision>0</cp:revision>
  <dcterms:created xsi:type="dcterms:W3CDTF">2020-02-04T09:42:23Z</dcterms:created>
  <dcterms:modified xsi:type="dcterms:W3CDTF">2024-10-10T06:51:44Z</dcterms:modified>
  <cp:category/>
  <cp:contentStatus/>
</cp:coreProperties>
</file>