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queryTables/queryTable1.xml" ContentType="application/vnd.openxmlformats-officedocument.spreadsheetml.query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hidePivotFieldList="1"/>
  <mc:AlternateContent xmlns:mc="http://schemas.openxmlformats.org/markup-compatibility/2006">
    <mc:Choice Requires="x15">
      <x15ac:absPath xmlns:x15ac="http://schemas.microsoft.com/office/spreadsheetml/2010/11/ac" url="https://ajuntamentlatallada-my.sharepoint.com/personal/auxiliar_latallada_cat/Documents/AUXILIAR/ESTEL/CURS TRANSPARÈNCIA/"/>
    </mc:Choice>
  </mc:AlternateContent>
  <xr:revisionPtr revIDLastSave="219" documentId="13_ncr:1_{4A1D4F1B-8F60-4846-AFA4-8A8B2EFBB23B}" xr6:coauthVersionLast="47" xr6:coauthVersionMax="47" xr10:uidLastSave="{A5A906D6-CE38-4F18-B7F2-E7BAD9FD1885}"/>
  <bookViews>
    <workbookView xWindow="-120" yWindow="-120" windowWidth="29040" windowHeight="15840" tabRatio="825" activeTab="1" xr2:uid="{00000000-000D-0000-FFFF-FFFF00000000}"/>
  </bookViews>
  <sheets>
    <sheet name="1_Plantejament" sheetId="10" r:id="rId1"/>
    <sheet name="2_Avaluació" sheetId="11" r:id="rId2"/>
    <sheet name="3_Informe" sheetId="13" r:id="rId3"/>
    <sheet name="4_Resultats" sheetId="12" state="hidden" r:id="rId4"/>
    <sheet name="5_DadesObertes" sheetId="20" state="hidden" r:id="rId5"/>
    <sheet name="6_Metodologia" sheetId="9" state="hidden" r:id="rId6"/>
    <sheet name="7_Fases" sheetId="21" state="hidden" r:id="rId7"/>
    <sheet name="8_Selectors" sheetId="14" state="hidden" r:id="rId8"/>
  </sheets>
  <definedNames>
    <definedName name="AnyAvaluacio">'1_Plantejament'!$B$9</definedName>
    <definedName name="_xlnm.Print_Area" localSheetId="2">'3_Informe'!$A$1:$H$255</definedName>
    <definedName name="DataAvaluacio">'1_Plantejament'!$B$10</definedName>
    <definedName name="DatosExternos_1" localSheetId="5" hidden="1">'6_Metodologia'!$A$1:$V$148</definedName>
    <definedName name="Desp1_TipusEns">Taula1_TipusEns[Tipus d''ens]</definedName>
    <definedName name="Desp2_Fases">Taula2_Fases[Fase d''avaluació]</definedName>
    <definedName name="Desp3_Avaluable">Taula3_Avaluable[Avaluable]</definedName>
    <definedName name="Desp4_ValorsAvaluacio">Taula4_ValorsAvaluacio[Valors avaluació]</definedName>
    <definedName name="FaseAvaluacio">'1_Plantejament'!$B$7</definedName>
    <definedName name="Graf5_ActualitzacioFases">INDEX(ResultatsFase[Actualització],MATCH('4_Resultats'!$A$33,ResultatsFase[Fase d''avaluació],0)):INDEX(ResultatsFase[Actualització],MATCH(LOOKUP(2,1/(ResultatsFase[Fase d''avaluació]&lt;&gt;""),ResultatsFase[Fase d''avaluació]),ResultatsFase[Fase d''avaluació],0))</definedName>
    <definedName name="Graf5_ContingutFases">INDEX(ResultatsFase[Contingut],MATCH('4_Resultats'!$A$33,ResultatsFase[Fase d''avaluació],0)):INDEX(ResultatsFase[Contingut],MATCH(LOOKUP(2,1/(ResultatsFase[Fase d''avaluació]&lt;&gt;""),ResultatsFase[Fase d''avaluació]),ResultatsFase[Fase d''avaluació],0))</definedName>
    <definedName name="Graf5_ReutilitzacioFases">INDEX(#REF!,MATCH('4_Resultats'!$A$33,ResultatsFase[Fase d''avaluació],0)):INDEX(#REF!,MATCH(LOOKUP(2,1/(ResultatsFase[Fase d''avaluació]&lt;&gt;""),ResultatsFase[Fase d''avaluació]),ResultatsFase[Fase d''avaluació],0))</definedName>
    <definedName name="Graf56_FasesAvaluacio">INDEX(ResultatsFase[Fase d''avaluació],MATCH('4_Resultats'!$A$33,ResultatsFase[Fase d''avaluació],0)):INDEX(ResultatsFase[Fase d''avaluació],MATCH(LOOKUP(2,1/(ResultatsFase[Fase d''avaluació]&lt;&gt;""),ResultatsFase[Fase d''avaluació]),ResultatsFase[Fase d''avaluació],0))</definedName>
    <definedName name="Graf6_CompleixParcialFases">INDEX(ResultatsFase[Compleix parcialment],MATCH('4_Resultats'!$A$33,ResultatsFase[Fase d''avaluació],0)):INDEX(ResultatsFase[Compleix parcialment],MATCH(LOOKUP(2,1/(ResultatsFase[Fase d''avaluació]&lt;&gt;""),ResultatsFase[Fase d''avaluació]),ResultatsFase[Fase d''avaluació],0))</definedName>
    <definedName name="Graf6_CompleixTotalFases">INDEX(ResultatsFase[Compleix totalment],MATCH('4_Resultats'!$A$33,ResultatsFase[Fase d''avaluació],0)):INDEX(ResultatsFase[Compleix totalment],MATCH(LOOKUP(2,1/(ResultatsFase[Fase d''avaluació]&lt;&gt;""),ResultatsFase[Fase d''avaluació]),ResultatsFase[Fase d''avaluació],0))</definedName>
    <definedName name="Graf6_NoCompleixFases">INDEX(ResultatsFase[No compleix],MATCH('4_Resultats'!$A$33,ResultatsFase[Fase d''avaluació],0)):INDEX(ResultatsFase[No compleix],MATCH(LOOKUP(2,1/(ResultatsFase[Fase d''avaluació]&lt;&gt;""),ResultatsFase[Fase d''avaluació]),ResultatsFase[Fase d''avaluació],0))</definedName>
    <definedName name="Graf7_Families">INDEX(ResultatsFamilia[Família],MATCH('4_Resultats'!$A$24,ResultatsFamilia[Família],0)):INDEX(ResultatsFamilia[Família],MATCH(LOOKUP(2,1/(ResultatsFamilia[Família]&lt;&gt;""),ResultatsFamilia[Família]),ResultatsFamilia[Família],0))</definedName>
    <definedName name="Graf7_PercentComplimentFamilies">INDEX(ResultatsFamilia[% compliment],MATCH('4_Resultats'!$A$24,ResultatsFamilia[Família],0)):INDEX(ResultatsFamilia[% compliment],MATCH(LOOKUP(2,1/(ResultatsFamilia[Família]&lt;&gt;""),ResultatsFamilia[Família]),ResultatsFamilia[Família],0))</definedName>
    <definedName name="Graf8_CompleixParcialSubfamilies">INDEX(ResultatsSubfamilia[Compleix parcialment],MATCH('4_Resultats'!$A$2,ResultatsSubfamilia[Subfamília],0)):INDEX(ResultatsSubfamilia[Compleix parcialment],MATCH(LOOKUP(2,1/(ResultatsSubfamilia[Subfamília]&lt;&gt;""),ResultatsSubfamilia[Subfamília]),ResultatsSubfamilia[Subfamília],0))</definedName>
    <definedName name="Graf8_CompleixTotalSubfamilies">INDEX(ResultatsSubfamilia[Compleix totalment],MATCH('4_Resultats'!$A$2,ResultatsSubfamilia[Subfamília],0)):INDEX(ResultatsSubfamilia[Compleix totalment],MATCH(LOOKUP(2,1/(ResultatsSubfamilia[Subfamília]&lt;&gt;""),ResultatsSubfamilia[Subfamília]),ResultatsSubfamilia[Subfamília],0))</definedName>
    <definedName name="Graf8_NoCompleixSubfamilies">INDEX(ResultatsSubfamilia[No compleix],MATCH('4_Resultats'!$A$2,ResultatsSubfamilia[Subfamília],0)):INDEX(ResultatsSubfamilia[No compleix],MATCH(LOOKUP(2,1/(ResultatsSubfamilia[Subfamília]&lt;&gt;""),ResultatsSubfamilia[Subfamília]),ResultatsSubfamilia[Subfamília],0))</definedName>
    <definedName name="Graf8_Subfamilies">INDEX(ResultatsSubfamilia[Subfamília],MATCH('4_Resultats'!$A$2,ResultatsSubfamilia[Subfamília],0)):INDEX(ResultatsSubfamilia[Subfamília],MATCH(LOOKUP(2,1/(ResultatsSubfamilia[Subfamília]&lt;&gt;""),ResultatsSubfamilia[Subfamília]),ResultatsSubfamilia[Subfamília],0))</definedName>
    <definedName name="NomEns">'1_Plantejament'!$B$5</definedName>
    <definedName name="NumItemsAvaluats">'1_Plantejament'!$B$8</definedName>
    <definedName name="TipusEns">'1_Plantejament'!$B$6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3" l="1"/>
  <c r="A2" i="13"/>
  <c r="A1" i="13"/>
  <c r="H13" i="13"/>
  <c r="E13" i="13"/>
  <c r="L2" i="11"/>
  <c r="L3" i="11"/>
  <c r="L4" i="11"/>
  <c r="L5" i="1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A33" i="12" l="1"/>
  <c r="A34" i="12"/>
  <c r="A35" i="12"/>
  <c r="A36" i="12"/>
  <c r="A37" i="12"/>
  <c r="I2"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K2" i="21" l="1"/>
  <c r="K3" i="21"/>
  <c r="K4" i="21"/>
  <c r="K5" i="21"/>
  <c r="K6" i="21"/>
  <c r="J2" i="21"/>
  <c r="J3" i="21"/>
  <c r="J4" i="21"/>
  <c r="J5" i="21"/>
  <c r="J6" i="21"/>
  <c r="I2" i="21"/>
  <c r="I3" i="21"/>
  <c r="I4" i="21"/>
  <c r="I5" i="21"/>
  <c r="I6" i="21"/>
  <c r="H2" i="21"/>
  <c r="H3" i="21"/>
  <c r="H4" i="21"/>
  <c r="H5" i="21"/>
  <c r="H6" i="21"/>
  <c r="G2" i="21"/>
  <c r="G3" i="21"/>
  <c r="G4" i="21"/>
  <c r="G5" i="21"/>
  <c r="G6" i="21"/>
  <c r="F2" i="21"/>
  <c r="F3" i="21"/>
  <c r="F4" i="21"/>
  <c r="F5" i="21"/>
  <c r="F6" i="21"/>
  <c r="E2" i="21"/>
  <c r="E3" i="21"/>
  <c r="E4" i="21"/>
  <c r="E5" i="21"/>
  <c r="E6" i="21"/>
  <c r="D2" i="21"/>
  <c r="D3" i="21"/>
  <c r="D4" i="21"/>
  <c r="D5" i="21"/>
  <c r="D6" i="21"/>
  <c r="C2" i="21"/>
  <c r="C3" i="21"/>
  <c r="C4" i="21"/>
  <c r="C5" i="21"/>
  <c r="C6" i="21"/>
  <c r="C7" i="21" l="1"/>
  <c r="H7" i="21"/>
  <c r="K7" i="21"/>
  <c r="D7" i="21"/>
  <c r="G7" i="21"/>
  <c r="E7" i="21"/>
  <c r="J7" i="21"/>
  <c r="I7" i="21"/>
  <c r="F7" i="21"/>
  <c r="C143" i="11"/>
  <c r="D143" i="11"/>
  <c r="E143" i="11"/>
  <c r="F143" i="11"/>
  <c r="N143" i="11"/>
  <c r="C144" i="11"/>
  <c r="D144" i="11"/>
  <c r="E144" i="11"/>
  <c r="F144" i="11"/>
  <c r="N144" i="11"/>
  <c r="C145" i="11"/>
  <c r="D145" i="11"/>
  <c r="E145" i="11"/>
  <c r="F145" i="11"/>
  <c r="N145" i="11"/>
  <c r="C146" i="11"/>
  <c r="D146" i="11"/>
  <c r="E146" i="11"/>
  <c r="F146" i="11"/>
  <c r="N146" i="11"/>
  <c r="C147" i="11"/>
  <c r="D147" i="11"/>
  <c r="E147" i="11"/>
  <c r="F147" i="11"/>
  <c r="N147" i="11"/>
  <c r="C148" i="11"/>
  <c r="D148" i="11"/>
  <c r="E148" i="11"/>
  <c r="F148" i="11"/>
  <c r="N148" i="11"/>
  <c r="F2" i="11"/>
  <c r="F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E2" i="11"/>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D2" i="1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N2" i="11"/>
  <c r="B34" i="12" l="1"/>
  <c r="B37" i="12"/>
  <c r="B36" i="12"/>
  <c r="B35" i="12"/>
  <c r="B33" i="12"/>
  <c r="N3" i="11"/>
  <c r="N4" i="11"/>
  <c r="N5" i="11"/>
  <c r="N6"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B38" i="12" l="1"/>
  <c r="B41" i="12" l="1"/>
  <c r="B42" i="12"/>
  <c r="B43" i="12" l="1"/>
  <c r="C2" i="14"/>
  <c r="C3" i="14"/>
  <c r="C4" i="14"/>
  <c r="C5" i="14"/>
  <c r="C6" i="14"/>
  <c r="C7" i="14"/>
  <c r="C8" i="14"/>
  <c r="C9" i="14"/>
  <c r="C10" i="14"/>
  <c r="C11" i="14"/>
  <c r="C12" i="14"/>
  <c r="C13" i="14"/>
  <c r="C14" i="14"/>
  <c r="B148" i="11" l="1"/>
  <c r="B147" i="11"/>
  <c r="B146" i="11"/>
  <c r="B145" i="11"/>
  <c r="B144" i="11"/>
  <c r="B143" i="11"/>
  <c r="B7" i="11"/>
  <c r="B15" i="11"/>
  <c r="B23" i="11"/>
  <c r="B31" i="11"/>
  <c r="B39" i="11"/>
  <c r="B47" i="11"/>
  <c r="B55" i="11"/>
  <c r="B63" i="11"/>
  <c r="B71" i="11"/>
  <c r="B79" i="11"/>
  <c r="B87" i="11"/>
  <c r="B95" i="11"/>
  <c r="B103" i="11"/>
  <c r="B111" i="11"/>
  <c r="B119" i="11"/>
  <c r="B127" i="11"/>
  <c r="B135" i="11"/>
  <c r="B8" i="11"/>
  <c r="B16" i="11"/>
  <c r="B24" i="11"/>
  <c r="B32" i="11"/>
  <c r="B40" i="11"/>
  <c r="B48" i="11"/>
  <c r="B56" i="11"/>
  <c r="B64" i="11"/>
  <c r="B9" i="11"/>
  <c r="B17" i="11"/>
  <c r="B25" i="11"/>
  <c r="B33" i="11"/>
  <c r="B41" i="11"/>
  <c r="B49" i="11"/>
  <c r="B57" i="11"/>
  <c r="B65" i="11"/>
  <c r="B73" i="11"/>
  <c r="B81" i="11"/>
  <c r="B89" i="11"/>
  <c r="B97" i="11"/>
  <c r="B105" i="11"/>
  <c r="B113" i="11"/>
  <c r="B121" i="11"/>
  <c r="B129" i="11"/>
  <c r="B137" i="11"/>
  <c r="B2" i="11"/>
  <c r="B10" i="11"/>
  <c r="B18" i="11"/>
  <c r="B26" i="11"/>
  <c r="B34" i="11"/>
  <c r="B42" i="11"/>
  <c r="B50" i="11"/>
  <c r="B58" i="11"/>
  <c r="B66" i="11"/>
  <c r="B74" i="11"/>
  <c r="B82" i="11"/>
  <c r="B90" i="11"/>
  <c r="B98" i="11"/>
  <c r="B106" i="11"/>
  <c r="B114" i="11"/>
  <c r="B122" i="11"/>
  <c r="B130" i="11"/>
  <c r="B138" i="11"/>
  <c r="B77" i="11"/>
  <c r="B109" i="11"/>
  <c r="B133" i="11"/>
  <c r="B3" i="11"/>
  <c r="B11" i="11"/>
  <c r="B19" i="11"/>
  <c r="B27" i="11"/>
  <c r="B35" i="11"/>
  <c r="B43" i="11"/>
  <c r="B51" i="11"/>
  <c r="B59" i="11"/>
  <c r="B67" i="11"/>
  <c r="B75" i="11"/>
  <c r="B83" i="11"/>
  <c r="B91" i="11"/>
  <c r="B99" i="11"/>
  <c r="B107" i="11"/>
  <c r="B115" i="11"/>
  <c r="B123" i="11"/>
  <c r="B131" i="11"/>
  <c r="B139" i="11"/>
  <c r="B5" i="11"/>
  <c r="B29" i="11"/>
  <c r="B45" i="11"/>
  <c r="B61" i="11"/>
  <c r="B85" i="11"/>
  <c r="B101" i="11"/>
  <c r="B125" i="11"/>
  <c r="B4" i="11"/>
  <c r="B12" i="11"/>
  <c r="B20" i="11"/>
  <c r="B28" i="11"/>
  <c r="B36" i="11"/>
  <c r="B44" i="11"/>
  <c r="B52" i="11"/>
  <c r="B60" i="11"/>
  <c r="B68" i="11"/>
  <c r="B76" i="11"/>
  <c r="B84" i="11"/>
  <c r="B92" i="11"/>
  <c r="B100" i="11"/>
  <c r="B108" i="11"/>
  <c r="B116" i="11"/>
  <c r="B124" i="11"/>
  <c r="B132" i="11"/>
  <c r="B140" i="11"/>
  <c r="B13" i="11"/>
  <c r="B21" i="11"/>
  <c r="B37" i="11"/>
  <c r="B53" i="11"/>
  <c r="B69" i="11"/>
  <c r="B93" i="11"/>
  <c r="B117" i="11"/>
  <c r="B141" i="11"/>
  <c r="B46" i="11"/>
  <c r="B88" i="11"/>
  <c r="B120" i="11"/>
  <c r="B54" i="11"/>
  <c r="B94" i="11"/>
  <c r="B126" i="11"/>
  <c r="B104" i="11"/>
  <c r="B22" i="11"/>
  <c r="B38" i="11"/>
  <c r="B62" i="11"/>
  <c r="B96" i="11"/>
  <c r="B128" i="11"/>
  <c r="B142" i="11"/>
  <c r="B112" i="11"/>
  <c r="B6" i="11"/>
  <c r="B70" i="11"/>
  <c r="B102" i="11"/>
  <c r="B134" i="11"/>
  <c r="B14" i="11"/>
  <c r="B136" i="11"/>
  <c r="B110" i="11"/>
  <c r="B30" i="11"/>
  <c r="B86" i="11"/>
  <c r="B72" i="11"/>
  <c r="B78" i="11"/>
  <c r="B80" i="11"/>
  <c r="B118" i="11"/>
  <c r="G6" i="11" l="1"/>
  <c r="H6" i="11"/>
  <c r="M6" i="11"/>
  <c r="C34" i="12"/>
  <c r="C36" i="12"/>
  <c r="C35" i="12"/>
  <c r="C37" i="12"/>
  <c r="C33" i="12"/>
  <c r="A2" i="12" a="1"/>
  <c r="A2" i="12" s="1"/>
  <c r="A24" i="12" a="1"/>
  <c r="A24" i="12" s="1"/>
  <c r="A109" i="13" a="1"/>
  <c r="A109" i="13" s="1"/>
  <c r="E2" i="20" a="1"/>
  <c r="E2" i="20" s="1"/>
  <c r="C42" i="12"/>
  <c r="C41" i="12"/>
  <c r="B8" i="10"/>
  <c r="B149" i="11"/>
  <c r="A106" i="13" l="1"/>
  <c r="B13" i="13"/>
  <c r="B109" i="13" a="1"/>
  <c r="B109" i="13" s="1"/>
  <c r="F109" i="13" a="1"/>
  <c r="F109" i="13" s="1"/>
  <c r="G109" i="13" a="1"/>
  <c r="G109" i="13" s="1"/>
  <c r="K65" i="11"/>
  <c r="J65" i="11" s="1"/>
  <c r="D37" i="12"/>
  <c r="F37" i="12" s="1"/>
  <c r="J6" i="11"/>
  <c r="K6" i="11"/>
  <c r="D35" i="12"/>
  <c r="F35" i="12" s="1"/>
  <c r="D34" i="12"/>
  <c r="F34" i="12" s="1"/>
  <c r="K4" i="11"/>
  <c r="D33" i="12"/>
  <c r="F33" i="12" s="1"/>
  <c r="D36" i="12"/>
  <c r="F36" i="12" s="1"/>
  <c r="A25" i="12" a="1"/>
  <c r="A25" i="12" s="1"/>
  <c r="A26" i="12" s="1" a="1"/>
  <c r="A26" i="12" s="1"/>
  <c r="A27" i="12" s="1" a="1"/>
  <c r="A27" i="12" s="1"/>
  <c r="A3" i="12" a="1"/>
  <c r="A3" i="12" s="1"/>
  <c r="A4" i="12" s="1" a="1"/>
  <c r="A4" i="12" s="1"/>
  <c r="C38" i="12"/>
  <c r="C43" i="12"/>
  <c r="A110" i="13" a="1"/>
  <c r="A110" i="13" s="1"/>
  <c r="B110" i="13" s="1" a="1"/>
  <c r="B110" i="13" s="1"/>
  <c r="E3" i="20" a="1"/>
  <c r="E3" i="20" s="1"/>
  <c r="I3" i="20" s="1" a="1"/>
  <c r="I3" i="20" s="1"/>
  <c r="F2" i="20" a="1"/>
  <c r="F2" i="20" s="1"/>
  <c r="B2" i="20" a="1"/>
  <c r="B2" i="20" s="1"/>
  <c r="G2" i="20" a="1"/>
  <c r="G2" i="20" s="1"/>
  <c r="I2" i="20" a="1"/>
  <c r="I2" i="20" s="1"/>
  <c r="C2" i="20" a="1"/>
  <c r="C2" i="20" s="1"/>
  <c r="H2" i="20" a="1"/>
  <c r="H2" i="20" s="1"/>
  <c r="D2" i="20" a="1"/>
  <c r="D2" i="20" s="1"/>
  <c r="A2" i="20" a="1"/>
  <c r="A2" i="20" s="1"/>
  <c r="C2" i="12"/>
  <c r="B2" i="12"/>
  <c r="D2" i="12"/>
  <c r="F2" i="12" s="1"/>
  <c r="D42" i="12"/>
  <c r="F42" i="12" s="1"/>
  <c r="D41" i="12"/>
  <c r="G149" i="11"/>
  <c r="F110" i="13" l="1" a="1"/>
  <c r="F110" i="13" s="1"/>
  <c r="K144" i="11"/>
  <c r="J144" i="11" s="1"/>
  <c r="K2" i="11"/>
  <c r="J2" i="11"/>
  <c r="K14" i="11"/>
  <c r="J14" i="11" s="1"/>
  <c r="K13" i="11"/>
  <c r="J13" i="11" s="1"/>
  <c r="K29" i="11"/>
  <c r="J29" i="11" s="1"/>
  <c r="K61" i="11"/>
  <c r="J61" i="11" s="1"/>
  <c r="K21" i="11"/>
  <c r="J21" i="11" s="1"/>
  <c r="K124" i="11"/>
  <c r="J124" i="11" s="1"/>
  <c r="K41" i="11"/>
  <c r="J41" i="11" s="1"/>
  <c r="K55" i="11"/>
  <c r="J55" i="11" s="1"/>
  <c r="K119" i="11"/>
  <c r="J119" i="11" s="1"/>
  <c r="K113" i="11"/>
  <c r="J113" i="11" s="1"/>
  <c r="K85" i="11"/>
  <c r="K58" i="11"/>
  <c r="J58" i="11" s="1"/>
  <c r="K70" i="11"/>
  <c r="J70" i="11" s="1"/>
  <c r="K115" i="11"/>
  <c r="K108" i="11"/>
  <c r="J108" i="11" s="1"/>
  <c r="K51" i="11"/>
  <c r="J51" i="11" s="1"/>
  <c r="K22" i="11"/>
  <c r="J22" i="11" s="1"/>
  <c r="K19" i="11"/>
  <c r="J19" i="11" s="1"/>
  <c r="K73" i="11"/>
  <c r="J73" i="11" s="1"/>
  <c r="K104" i="11"/>
  <c r="J104" i="11" s="1"/>
  <c r="K37" i="11"/>
  <c r="J37" i="11" s="1"/>
  <c r="K50" i="11"/>
  <c r="J50" i="11" s="1"/>
  <c r="K146" i="11"/>
  <c r="J146" i="11" s="1"/>
  <c r="K24" i="11"/>
  <c r="J24" i="11" s="1"/>
  <c r="K86" i="11"/>
  <c r="J86" i="11" s="1"/>
  <c r="K38" i="11"/>
  <c r="J38" i="11" s="1"/>
  <c r="K68" i="11"/>
  <c r="J68" i="11" s="1"/>
  <c r="K114" i="11"/>
  <c r="J114" i="11" s="1"/>
  <c r="K118" i="11"/>
  <c r="J118" i="11" s="1"/>
  <c r="K112" i="11"/>
  <c r="J112" i="11" s="1"/>
  <c r="K92" i="11"/>
  <c r="J92" i="11" s="1"/>
  <c r="K45" i="11"/>
  <c r="J45" i="11" s="1"/>
  <c r="K57" i="11"/>
  <c r="J57" i="11" s="1"/>
  <c r="K127" i="11"/>
  <c r="J127" i="11" s="1"/>
  <c r="K110" i="11"/>
  <c r="J110" i="11" s="1"/>
  <c r="K94" i="11"/>
  <c r="J94" i="11" s="1"/>
  <c r="K91" i="11"/>
  <c r="J91" i="11" s="1"/>
  <c r="K130" i="11"/>
  <c r="J130" i="11" s="1"/>
  <c r="K49" i="11"/>
  <c r="J49" i="11" s="1"/>
  <c r="K16" i="11"/>
  <c r="K97" i="11"/>
  <c r="J97" i="11" s="1"/>
  <c r="K48" i="11"/>
  <c r="J48" i="11" s="1"/>
  <c r="K77" i="11"/>
  <c r="J77" i="11" s="1"/>
  <c r="K12" i="11"/>
  <c r="J12" i="11" s="1"/>
  <c r="K122" i="11"/>
  <c r="J122" i="11" s="1"/>
  <c r="K8" i="11"/>
  <c r="J8" i="11" s="1"/>
  <c r="K117" i="11"/>
  <c r="J117" i="11" s="1"/>
  <c r="K123" i="11"/>
  <c r="J123" i="11" s="1"/>
  <c r="K34" i="11"/>
  <c r="K75" i="11"/>
  <c r="K69" i="11"/>
  <c r="J69" i="11" s="1"/>
  <c r="K126" i="11"/>
  <c r="J126" i="11" s="1"/>
  <c r="K30" i="11"/>
  <c r="J30" i="11" s="1"/>
  <c r="K105" i="11"/>
  <c r="J105" i="11" s="1"/>
  <c r="K145" i="11"/>
  <c r="J145" i="11" s="1"/>
  <c r="K36" i="11"/>
  <c r="J36" i="11" s="1"/>
  <c r="K11" i="11"/>
  <c r="J11" i="11" s="1"/>
  <c r="K135" i="11"/>
  <c r="J135" i="11" s="1"/>
  <c r="K132" i="11"/>
  <c r="J132" i="11" s="1"/>
  <c r="K107" i="11"/>
  <c r="J107" i="11" s="1"/>
  <c r="K103" i="11"/>
  <c r="J103" i="11" s="1"/>
  <c r="K3" i="11"/>
  <c r="G110" i="13" a="1"/>
  <c r="G110" i="13" s="1"/>
  <c r="K25" i="11"/>
  <c r="J25" i="11" s="1"/>
  <c r="K95" i="11"/>
  <c r="J95" i="11" s="1"/>
  <c r="K134" i="11"/>
  <c r="J134" i="11" s="1"/>
  <c r="K102" i="11"/>
  <c r="J102" i="11" s="1"/>
  <c r="K46" i="11"/>
  <c r="J46" i="11" s="1"/>
  <c r="K43" i="11"/>
  <c r="J43" i="11" s="1"/>
  <c r="K129" i="11"/>
  <c r="J129" i="11" s="1"/>
  <c r="K39" i="11"/>
  <c r="J39" i="11" s="1"/>
  <c r="K96" i="11"/>
  <c r="J96" i="11" s="1"/>
  <c r="K88" i="11"/>
  <c r="J88" i="11" s="1"/>
  <c r="K28" i="11"/>
  <c r="J28" i="11" s="1"/>
  <c r="K99" i="11"/>
  <c r="J99" i="11" s="1"/>
  <c r="K138" i="11"/>
  <c r="J138" i="11" s="1"/>
  <c r="K56" i="11"/>
  <c r="J56" i="11" s="1"/>
  <c r="K63" i="11"/>
  <c r="J63" i="11" s="1"/>
  <c r="K62" i="11"/>
  <c r="J62" i="11" s="1"/>
  <c r="K142" i="11"/>
  <c r="J142" i="11" s="1"/>
  <c r="K116" i="11"/>
  <c r="J116" i="11" s="1"/>
  <c r="K101" i="11"/>
  <c r="J101" i="11" s="1"/>
  <c r="K81" i="11"/>
  <c r="J81" i="11" s="1"/>
  <c r="K125" i="11"/>
  <c r="J125" i="11" s="1"/>
  <c r="K89" i="11"/>
  <c r="J89" i="11" s="1"/>
  <c r="K9" i="11"/>
  <c r="J9" i="11" s="1"/>
  <c r="K53" i="11"/>
  <c r="J53" i="11" s="1"/>
  <c r="K60" i="11"/>
  <c r="J60" i="11" s="1"/>
  <c r="K131" i="11"/>
  <c r="J131" i="11" s="1"/>
  <c r="K128" i="11"/>
  <c r="J128" i="11" s="1"/>
  <c r="K140" i="11"/>
  <c r="J140" i="11" s="1"/>
  <c r="K83" i="11"/>
  <c r="J83" i="11" s="1"/>
  <c r="K15" i="11"/>
  <c r="J15" i="11" s="1"/>
  <c r="K93" i="11"/>
  <c r="J93" i="11" s="1"/>
  <c r="K20" i="11"/>
  <c r="J20" i="11" s="1"/>
  <c r="K59" i="11"/>
  <c r="J59" i="11" s="1"/>
  <c r="K98" i="11"/>
  <c r="J98" i="11" s="1"/>
  <c r="K26" i="11"/>
  <c r="J26" i="11" s="1"/>
  <c r="K47" i="11"/>
  <c r="J47" i="11" s="1"/>
  <c r="K100" i="11"/>
  <c r="J100" i="11" s="1"/>
  <c r="K18" i="11"/>
  <c r="J18" i="11" s="1"/>
  <c r="K71" i="11"/>
  <c r="J71" i="11" s="1"/>
  <c r="K17" i="11"/>
  <c r="J17" i="11" s="1"/>
  <c r="K148" i="11"/>
  <c r="J148" i="11" s="1"/>
  <c r="K33" i="11"/>
  <c r="J33" i="11" s="1"/>
  <c r="K67" i="11"/>
  <c r="J67" i="11" s="1"/>
  <c r="J16" i="11"/>
  <c r="J34" i="11"/>
  <c r="K141" i="11"/>
  <c r="J141" i="11" s="1"/>
  <c r="K120" i="11"/>
  <c r="J120" i="11" s="1"/>
  <c r="K64" i="11"/>
  <c r="J64" i="11" s="1"/>
  <c r="K121" i="11"/>
  <c r="J121" i="11" s="1"/>
  <c r="K80" i="11"/>
  <c r="J80" i="11" s="1"/>
  <c r="K7" i="11"/>
  <c r="J7" i="11" s="1"/>
  <c r="J85" i="11"/>
  <c r="K76" i="11"/>
  <c r="J76" i="11" s="1"/>
  <c r="K42" i="11"/>
  <c r="J42" i="11" s="1"/>
  <c r="K136" i="11"/>
  <c r="J136" i="11" s="1"/>
  <c r="K109" i="11"/>
  <c r="J109" i="11" s="1"/>
  <c r="K82" i="11"/>
  <c r="J82" i="11" s="1"/>
  <c r="K31" i="11"/>
  <c r="J31" i="11" s="1"/>
  <c r="K90" i="11"/>
  <c r="J90" i="11" s="1"/>
  <c r="K147" i="11"/>
  <c r="J147" i="11" s="1"/>
  <c r="K5" i="11"/>
  <c r="J5" i="11" s="1"/>
  <c r="K40" i="11"/>
  <c r="J40" i="11" s="1"/>
  <c r="K133" i="11"/>
  <c r="J133" i="11" s="1"/>
  <c r="K72" i="11"/>
  <c r="J72" i="11" s="1"/>
  <c r="K10" i="11"/>
  <c r="J10" i="11" s="1"/>
  <c r="K84" i="11"/>
  <c r="K79" i="11"/>
  <c r="J79" i="11" s="1"/>
  <c r="K87" i="11"/>
  <c r="J87" i="11" s="1"/>
  <c r="K137" i="11"/>
  <c r="J137" i="11" s="1"/>
  <c r="K54" i="11"/>
  <c r="J75" i="11"/>
  <c r="K74" i="11"/>
  <c r="J74" i="11" s="1"/>
  <c r="K66" i="11"/>
  <c r="J66" i="11" s="1"/>
  <c r="K44" i="11"/>
  <c r="J44" i="11" s="1"/>
  <c r="K78" i="11"/>
  <c r="K35" i="11"/>
  <c r="J35" i="11" s="1"/>
  <c r="K27" i="11"/>
  <c r="J27" i="11" s="1"/>
  <c r="K111" i="11"/>
  <c r="J111" i="11" s="1"/>
  <c r="K139" i="11"/>
  <c r="J139" i="11" s="1"/>
  <c r="K32" i="11"/>
  <c r="J32" i="11" s="1"/>
  <c r="K106" i="11"/>
  <c r="J106" i="11" s="1"/>
  <c r="K143" i="11"/>
  <c r="J143" i="11" s="1"/>
  <c r="K52" i="11"/>
  <c r="J52" i="11" s="1"/>
  <c r="K23" i="11"/>
  <c r="J23" i="11" s="1"/>
  <c r="J115" i="11"/>
  <c r="D38" i="12"/>
  <c r="F38" i="12" s="1"/>
  <c r="E36" i="12"/>
  <c r="G36" i="12" s="1"/>
  <c r="E35" i="12"/>
  <c r="G35" i="12" s="1"/>
  <c r="E37" i="12"/>
  <c r="G37" i="12" s="1"/>
  <c r="E34" i="12"/>
  <c r="G34" i="12" s="1"/>
  <c r="E33" i="12"/>
  <c r="D4" i="12"/>
  <c r="F4" i="12" s="1"/>
  <c r="A28" i="12" a="1"/>
  <c r="A28" i="12" s="1"/>
  <c r="A29" i="12" s="1" a="1"/>
  <c r="A29" i="12" s="1"/>
  <c r="A5" i="12" a="1"/>
  <c r="A5" i="12" s="1"/>
  <c r="F41" i="12"/>
  <c r="F43" i="12" s="1"/>
  <c r="D43" i="12"/>
  <c r="J2" i="20" a="1"/>
  <c r="J2" i="20" s="1"/>
  <c r="K2" i="20" a="1"/>
  <c r="K2" i="20" s="1"/>
  <c r="A111" i="13" a="1"/>
  <c r="A111" i="13" s="1"/>
  <c r="G111" i="13" s="1" a="1"/>
  <c r="G111" i="13" s="1"/>
  <c r="H3" i="20" a="1"/>
  <c r="H3" i="20" s="1"/>
  <c r="D3" i="20" a="1"/>
  <c r="D3" i="20" s="1"/>
  <c r="F3" i="20" a="1"/>
  <c r="F3" i="20" s="1"/>
  <c r="B3" i="20" a="1"/>
  <c r="B3" i="20" s="1"/>
  <c r="G3" i="20" a="1"/>
  <c r="G3" i="20" s="1"/>
  <c r="A3" i="20" a="1"/>
  <c r="A3" i="20" s="1"/>
  <c r="C3" i="20" a="1"/>
  <c r="C3" i="20" s="1"/>
  <c r="E4" i="20" a="1"/>
  <c r="E4" i="20" s="1"/>
  <c r="K3" i="20" a="1"/>
  <c r="K3" i="20" s="1"/>
  <c r="J3" i="20" a="1"/>
  <c r="J3" i="20" s="1"/>
  <c r="D3" i="12"/>
  <c r="F3" i="12" s="1"/>
  <c r="B4" i="12"/>
  <c r="C4" i="12"/>
  <c r="B3" i="12"/>
  <c r="C3" i="12"/>
  <c r="E41" i="12"/>
  <c r="E42" i="12"/>
  <c r="G42" i="12" s="1"/>
  <c r="E3" i="12"/>
  <c r="G3" i="12" s="1"/>
  <c r="E4" i="12"/>
  <c r="G4" i="12" s="1"/>
  <c r="E2" i="12"/>
  <c r="G2" i="12" s="1"/>
  <c r="H149" i="11"/>
  <c r="J3" i="11" l="1"/>
  <c r="M3" i="11"/>
  <c r="A112" i="13" a="1"/>
  <c r="A112" i="13" s="1"/>
  <c r="B112" i="13" s="1" a="1"/>
  <c r="B112" i="13" s="1"/>
  <c r="F111" i="13" a="1"/>
  <c r="F111" i="13" s="1"/>
  <c r="M60" i="11"/>
  <c r="M133" i="11"/>
  <c r="M19" i="11"/>
  <c r="M148" i="11"/>
  <c r="M105" i="11"/>
  <c r="M27" i="11"/>
  <c r="M104" i="11"/>
  <c r="M35" i="11"/>
  <c r="L34" i="12"/>
  <c r="M95" i="11"/>
  <c r="M57" i="11"/>
  <c r="M92" i="11"/>
  <c r="M33" i="11"/>
  <c r="M42" i="11"/>
  <c r="M119" i="11"/>
  <c r="M36" i="11"/>
  <c r="M54" i="11"/>
  <c r="M84" i="11"/>
  <c r="L37" i="12"/>
  <c r="J78" i="11"/>
  <c r="M125" i="11"/>
  <c r="M142" i="11"/>
  <c r="L36" i="12"/>
  <c r="M38" i="11"/>
  <c r="M71" i="11"/>
  <c r="M79" i="11"/>
  <c r="M5" i="11"/>
  <c r="M87" i="11"/>
  <c r="M61" i="11"/>
  <c r="M124" i="11"/>
  <c r="M103" i="11"/>
  <c r="M90" i="11"/>
  <c r="M89" i="11"/>
  <c r="M108" i="11"/>
  <c r="J84" i="11"/>
  <c r="M34" i="11"/>
  <c r="M72" i="11"/>
  <c r="M31" i="11"/>
  <c r="M7" i="11"/>
  <c r="M143" i="11"/>
  <c r="M43" i="11"/>
  <c r="M73" i="11"/>
  <c r="M76" i="11"/>
  <c r="M17" i="11"/>
  <c r="M49" i="11"/>
  <c r="M130" i="11"/>
  <c r="M107" i="11"/>
  <c r="M75" i="11"/>
  <c r="M112" i="11"/>
  <c r="M22" i="11"/>
  <c r="M65" i="11"/>
  <c r="L35" i="12"/>
  <c r="J54" i="11"/>
  <c r="M11" i="11"/>
  <c r="M74" i="11"/>
  <c r="M114" i="11"/>
  <c r="M106" i="11"/>
  <c r="M132" i="11"/>
  <c r="M58" i="11"/>
  <c r="M69" i="11"/>
  <c r="M147" i="11"/>
  <c r="M127" i="11"/>
  <c r="M91" i="11"/>
  <c r="M145" i="11"/>
  <c r="M144" i="11"/>
  <c r="M9" i="11"/>
  <c r="M126" i="11"/>
  <c r="M23" i="11"/>
  <c r="M63" i="11"/>
  <c r="M67" i="11"/>
  <c r="M14" i="11"/>
  <c r="M48" i="11"/>
  <c r="J4" i="11"/>
  <c r="M137" i="11"/>
  <c r="M94" i="11"/>
  <c r="M39" i="11"/>
  <c r="M88" i="11"/>
  <c r="M110" i="11"/>
  <c r="M32" i="11"/>
  <c r="M85" i="11"/>
  <c r="M113" i="11"/>
  <c r="M81" i="11"/>
  <c r="M59" i="11"/>
  <c r="M80" i="11"/>
  <c r="M20" i="11"/>
  <c r="M97" i="11"/>
  <c r="M102" i="11"/>
  <c r="M135" i="11"/>
  <c r="M56" i="11"/>
  <c r="M131" i="11"/>
  <c r="M15" i="11"/>
  <c r="M128" i="11"/>
  <c r="M21" i="11"/>
  <c r="M70" i="11"/>
  <c r="L41" i="12"/>
  <c r="M101" i="11"/>
  <c r="M96" i="11"/>
  <c r="M136" i="11"/>
  <c r="M118" i="11"/>
  <c r="M86" i="11"/>
  <c r="M82" i="11"/>
  <c r="M40" i="11"/>
  <c r="M141" i="11"/>
  <c r="M8" i="11"/>
  <c r="M12" i="11"/>
  <c r="M122" i="11"/>
  <c r="G33" i="12"/>
  <c r="E38" i="12"/>
  <c r="G38" i="12" s="1"/>
  <c r="L30" i="12"/>
  <c r="M62" i="11"/>
  <c r="M50" i="11"/>
  <c r="M18" i="11"/>
  <c r="M121" i="11"/>
  <c r="M100" i="11"/>
  <c r="M26" i="11"/>
  <c r="M55" i="11"/>
  <c r="M123" i="11"/>
  <c r="M64" i="11"/>
  <c r="M51" i="11"/>
  <c r="M138" i="11"/>
  <c r="M52" i="11"/>
  <c r="M30" i="11"/>
  <c r="M134" i="11"/>
  <c r="M129" i="11"/>
  <c r="M83" i="11"/>
  <c r="M16" i="11"/>
  <c r="M41" i="11"/>
  <c r="M93" i="11"/>
  <c r="L38" i="12"/>
  <c r="L21" i="12"/>
  <c r="M24" i="11"/>
  <c r="M98" i="11"/>
  <c r="M10" i="11"/>
  <c r="M66" i="11"/>
  <c r="M28" i="11"/>
  <c r="M120" i="11"/>
  <c r="M109" i="11"/>
  <c r="M13" i="11"/>
  <c r="M139" i="11"/>
  <c r="M78" i="11"/>
  <c r="M4" i="11"/>
  <c r="L33" i="12"/>
  <c r="M25" i="11"/>
  <c r="M68" i="11"/>
  <c r="M140" i="11"/>
  <c r="M29" i="11"/>
  <c r="M115" i="11"/>
  <c r="M53" i="11"/>
  <c r="M2" i="11"/>
  <c r="M99" i="11"/>
  <c r="M46" i="11"/>
  <c r="M45" i="11"/>
  <c r="M116" i="11"/>
  <c r="M146" i="11"/>
  <c r="M47" i="11"/>
  <c r="M44" i="11"/>
  <c r="M77" i="11"/>
  <c r="M111" i="11"/>
  <c r="M37" i="11"/>
  <c r="M117" i="11"/>
  <c r="A6" i="12" a="1"/>
  <c r="A6" i="12" s="1"/>
  <c r="A7" i="12" s="1" a="1"/>
  <c r="A7" i="12" s="1"/>
  <c r="G41" i="12"/>
  <c r="G43" i="12" s="1"/>
  <c r="E43" i="12"/>
  <c r="E5" i="12"/>
  <c r="G5" i="12" s="1"/>
  <c r="B111" i="13" a="1"/>
  <c r="B111" i="13" s="1"/>
  <c r="H4" i="20" a="1"/>
  <c r="H4" i="20" s="1"/>
  <c r="C4" i="20" a="1"/>
  <c r="C4" i="20" s="1"/>
  <c r="F4" i="20" a="1"/>
  <c r="F4" i="20" s="1"/>
  <c r="G4" i="20" a="1"/>
  <c r="G4" i="20" s="1"/>
  <c r="A4" i="20" a="1"/>
  <c r="A4" i="20" s="1"/>
  <c r="B4" i="20" a="1"/>
  <c r="B4" i="20" s="1"/>
  <c r="D4" i="20" a="1"/>
  <c r="D4" i="20" s="1"/>
  <c r="I4" i="20" a="1"/>
  <c r="I4" i="20" s="1"/>
  <c r="K4" i="20" a="1"/>
  <c r="K4" i="20" s="1"/>
  <c r="J4" i="20" a="1"/>
  <c r="J4" i="20" s="1"/>
  <c r="M2" i="20" a="1"/>
  <c r="M2" i="20" s="1"/>
  <c r="E5" i="20" a="1"/>
  <c r="E5" i="20" s="1"/>
  <c r="M4" i="20" a="1"/>
  <c r="M4" i="20" s="1"/>
  <c r="M3" i="20" a="1"/>
  <c r="M3" i="20" s="1"/>
  <c r="B5" i="12"/>
  <c r="C5" i="12"/>
  <c r="D5" i="12"/>
  <c r="F5" i="12" s="1"/>
  <c r="L4" i="12"/>
  <c r="L5" i="12"/>
  <c r="L2" i="12"/>
  <c r="L3" i="12"/>
  <c r="L42" i="12"/>
  <c r="K149" i="11"/>
  <c r="A113" i="13" l="1" a="1"/>
  <c r="A113" i="13" s="1"/>
  <c r="A114" i="13" s="1" a="1"/>
  <c r="A114" i="13" s="1"/>
  <c r="F112" i="13" a="1"/>
  <c r="F112" i="13" s="1"/>
  <c r="G112" i="13" a="1"/>
  <c r="G112" i="13" s="1"/>
  <c r="I37" i="12"/>
  <c r="J37" i="12"/>
  <c r="H37" i="12"/>
  <c r="K37" i="12"/>
  <c r="H34" i="12"/>
  <c r="I34" i="12"/>
  <c r="J34" i="12"/>
  <c r="K34" i="12"/>
  <c r="I36" i="12"/>
  <c r="J36" i="12"/>
  <c r="H36" i="12"/>
  <c r="K36" i="12"/>
  <c r="H33" i="12"/>
  <c r="J33" i="12"/>
  <c r="K33" i="12"/>
  <c r="K38" i="12" s="1"/>
  <c r="I33" i="12"/>
  <c r="L43" i="12"/>
  <c r="A8" i="12" a="1"/>
  <c r="A8" i="12" s="1"/>
  <c r="A9" i="12" s="1" a="1"/>
  <c r="A9" i="12" s="1"/>
  <c r="A10" i="12" s="1" a="1"/>
  <c r="A10" i="12" s="1"/>
  <c r="A11" i="12" s="1" a="1"/>
  <c r="A11" i="12" s="1"/>
  <c r="A12" i="12" s="1" a="1"/>
  <c r="A12" i="12" s="1"/>
  <c r="E6" i="20" a="1"/>
  <c r="E6" i="20" s="1"/>
  <c r="L6" i="20" s="1" a="1"/>
  <c r="L6" i="20" s="1"/>
  <c r="H5" i="20" a="1"/>
  <c r="H5" i="20" s="1"/>
  <c r="D5" i="20" a="1"/>
  <c r="D5" i="20" s="1"/>
  <c r="C5" i="20" a="1"/>
  <c r="C5" i="20" s="1"/>
  <c r="A5" i="20" a="1"/>
  <c r="A5" i="20" s="1"/>
  <c r="B5" i="20" a="1"/>
  <c r="B5" i="20" s="1"/>
  <c r="F5" i="20" a="1"/>
  <c r="F5" i="20" s="1"/>
  <c r="G5" i="20" a="1"/>
  <c r="G5" i="20" s="1"/>
  <c r="I5" i="20" a="1"/>
  <c r="I5" i="20" s="1"/>
  <c r="J5" i="20" a="1"/>
  <c r="J5" i="20" s="1"/>
  <c r="K5" i="20" a="1"/>
  <c r="K5" i="20" s="1"/>
  <c r="M5" i="20" a="1"/>
  <c r="M5" i="20" s="1"/>
  <c r="L5" i="20" a="1"/>
  <c r="L5" i="20" s="1"/>
  <c r="H112" i="13" a="1"/>
  <c r="H112" i="13" s="1"/>
  <c r="L4" i="20" a="1"/>
  <c r="L4" i="20" s="1"/>
  <c r="H111" i="13" a="1"/>
  <c r="H111" i="13" s="1"/>
  <c r="B6" i="12"/>
  <c r="C6" i="12"/>
  <c r="D6" i="12"/>
  <c r="F6" i="12" s="1"/>
  <c r="E6" i="12"/>
  <c r="G6" i="12" s="1"/>
  <c r="L6" i="12"/>
  <c r="K5" i="12"/>
  <c r="J5" i="12"/>
  <c r="I5" i="12"/>
  <c r="H5" i="12"/>
  <c r="H3" i="12"/>
  <c r="H4" i="12"/>
  <c r="H6" i="12"/>
  <c r="I3" i="12"/>
  <c r="I4" i="12"/>
  <c r="I6" i="12"/>
  <c r="K6" i="12"/>
  <c r="J6" i="12"/>
  <c r="K3" i="12"/>
  <c r="J3" i="12"/>
  <c r="K4" i="12"/>
  <c r="J4" i="12"/>
  <c r="A82" i="13"/>
  <c r="A90" i="13"/>
  <c r="A73" i="13"/>
  <c r="A85" i="13"/>
  <c r="A93" i="13"/>
  <c r="A76" i="13"/>
  <c r="A96" i="13"/>
  <c r="A99" i="13"/>
  <c r="A79" i="13"/>
  <c r="A102" i="13"/>
  <c r="H114" i="13" l="1" a="1"/>
  <c r="H114" i="13" s="1"/>
  <c r="A115" i="13" a="1"/>
  <c r="A115" i="13" s="1"/>
  <c r="F115" i="13" s="1" a="1"/>
  <c r="F115" i="13" s="1"/>
  <c r="G113" i="13" a="1"/>
  <c r="G113" i="13" s="1"/>
  <c r="F113" i="13" a="1"/>
  <c r="F113" i="13" s="1"/>
  <c r="H113" i="13" a="1"/>
  <c r="H113" i="13" s="1"/>
  <c r="B113" i="13" a="1"/>
  <c r="B113" i="13" s="1"/>
  <c r="B114" i="13" a="1"/>
  <c r="B114" i="13" s="1"/>
  <c r="F114" i="13" a="1"/>
  <c r="F114" i="13" s="1"/>
  <c r="G114" i="13" a="1"/>
  <c r="G114" i="13" s="1"/>
  <c r="A13" i="12" a="1"/>
  <c r="A13" i="12" s="1"/>
  <c r="A14" i="12" s="1" a="1"/>
  <c r="A14" i="12" s="1"/>
  <c r="A15" i="12" s="1" a="1"/>
  <c r="A15" i="12" s="1"/>
  <c r="A16" i="12" s="1" a="1"/>
  <c r="A16" i="12" s="1"/>
  <c r="A17" i="12" s="1" a="1"/>
  <c r="A17" i="12" s="1"/>
  <c r="A18" i="12" s="1" a="1"/>
  <c r="A18" i="12" s="1"/>
  <c r="A19" i="12" s="1" a="1"/>
  <c r="A19" i="12" s="1"/>
  <c r="A20" i="12" s="1" a="1"/>
  <c r="A20" i="12" s="1"/>
  <c r="E7" i="20" a="1"/>
  <c r="E7" i="20" s="1"/>
  <c r="E8" i="20" s="1" a="1"/>
  <c r="E8" i="20" s="1"/>
  <c r="H6" i="20" a="1"/>
  <c r="H6" i="20" s="1"/>
  <c r="F6" i="20" a="1"/>
  <c r="F6" i="20" s="1"/>
  <c r="C6" i="20" a="1"/>
  <c r="C6" i="20" s="1"/>
  <c r="G6" i="20" a="1"/>
  <c r="G6" i="20" s="1"/>
  <c r="B6" i="20" a="1"/>
  <c r="B6" i="20" s="1"/>
  <c r="D6" i="20" a="1"/>
  <c r="D6" i="20" s="1"/>
  <c r="A6" i="20" a="1"/>
  <c r="A6" i="20" s="1"/>
  <c r="I6" i="20" a="1"/>
  <c r="I6" i="20" s="1"/>
  <c r="J6" i="20" a="1"/>
  <c r="J6" i="20" s="1"/>
  <c r="K6" i="20" a="1"/>
  <c r="K6" i="20" s="1"/>
  <c r="M6" i="20" a="1"/>
  <c r="M6" i="20" s="1"/>
  <c r="K7" i="12"/>
  <c r="J7" i="12"/>
  <c r="I7" i="12"/>
  <c r="H7" i="12"/>
  <c r="B8" i="12"/>
  <c r="C8" i="12"/>
  <c r="D8" i="12"/>
  <c r="F8" i="12" s="1"/>
  <c r="E8" i="12"/>
  <c r="G8" i="12" s="1"/>
  <c r="L8" i="12"/>
  <c r="H8" i="12"/>
  <c r="I8" i="12"/>
  <c r="J8" i="12"/>
  <c r="K8" i="12"/>
  <c r="B7" i="12"/>
  <c r="C7" i="12"/>
  <c r="D7" i="12"/>
  <c r="F7" i="12" s="1"/>
  <c r="E7" i="12"/>
  <c r="G7" i="12" s="1"/>
  <c r="L7" i="12"/>
  <c r="A116" i="13" l="1" a="1"/>
  <c r="A116" i="13" s="1"/>
  <c r="F116" i="13" s="1" a="1"/>
  <c r="F116" i="13" s="1"/>
  <c r="G115" i="13" a="1"/>
  <c r="G115" i="13" s="1"/>
  <c r="H115" i="13" a="1"/>
  <c r="H115" i="13" s="1"/>
  <c r="B115" i="13" a="1"/>
  <c r="B115" i="13" s="1"/>
  <c r="E9" i="20" a="1"/>
  <c r="E9" i="20" s="1"/>
  <c r="E10" i="20" s="1" a="1"/>
  <c r="E10" i="20" s="1"/>
  <c r="G8" i="20" a="1"/>
  <c r="G8" i="20" s="1"/>
  <c r="A8" i="20" a="1"/>
  <c r="A8" i="20" s="1"/>
  <c r="C8" i="20" a="1"/>
  <c r="C8" i="20" s="1"/>
  <c r="F8" i="20" a="1"/>
  <c r="F8" i="20" s="1"/>
  <c r="B8" i="20" a="1"/>
  <c r="B8" i="20" s="1"/>
  <c r="D8" i="20" a="1"/>
  <c r="D8" i="20" s="1"/>
  <c r="H8" i="20" a="1"/>
  <c r="H8" i="20" s="1"/>
  <c r="I8" i="20" a="1"/>
  <c r="I8" i="20" s="1"/>
  <c r="K8" i="20" a="1"/>
  <c r="K8" i="20" s="1"/>
  <c r="J8" i="20" a="1"/>
  <c r="J8" i="20" s="1"/>
  <c r="M8" i="20" a="1"/>
  <c r="M8" i="20" s="1"/>
  <c r="L8" i="20" a="1"/>
  <c r="L8" i="20" s="1"/>
  <c r="H7" i="20" a="1"/>
  <c r="H7" i="20" s="1"/>
  <c r="A7" i="20" a="1"/>
  <c r="A7" i="20" s="1"/>
  <c r="G7" i="20" a="1"/>
  <c r="G7" i="20" s="1"/>
  <c r="B7" i="20" a="1"/>
  <c r="B7" i="20" s="1"/>
  <c r="F7" i="20" a="1"/>
  <c r="F7" i="20" s="1"/>
  <c r="C7" i="20" a="1"/>
  <c r="C7" i="20" s="1"/>
  <c r="D7" i="20" a="1"/>
  <c r="D7" i="20" s="1"/>
  <c r="I7" i="20" a="1"/>
  <c r="I7" i="20" s="1"/>
  <c r="K7" i="20" a="1"/>
  <c r="K7" i="20" s="1"/>
  <c r="J7" i="20" a="1"/>
  <c r="J7" i="20" s="1"/>
  <c r="M7" i="20" a="1"/>
  <c r="M7" i="20" s="1"/>
  <c r="L7" i="20" a="1"/>
  <c r="L7" i="20" s="1"/>
  <c r="B9" i="12"/>
  <c r="C9" i="12"/>
  <c r="D9" i="12"/>
  <c r="F9" i="12" s="1"/>
  <c r="E9" i="12"/>
  <c r="G9" i="12" s="1"/>
  <c r="L9" i="12"/>
  <c r="I9" i="12"/>
  <c r="H9" i="12"/>
  <c r="K9" i="12"/>
  <c r="J9" i="12"/>
  <c r="H116" i="13" l="1" a="1"/>
  <c r="H116" i="13" s="1"/>
  <c r="A117" i="13" a="1"/>
  <c r="A117" i="13" s="1"/>
  <c r="B117" i="13" s="1" a="1"/>
  <c r="B117" i="13" s="1"/>
  <c r="G116" i="13" a="1"/>
  <c r="G116" i="13" s="1"/>
  <c r="B116" i="13" a="1"/>
  <c r="B116" i="13" s="1"/>
  <c r="H9" i="20" a="1"/>
  <c r="H9" i="20" s="1"/>
  <c r="A9" i="20" a="1"/>
  <c r="A9" i="20" s="1"/>
  <c r="C9" i="20" a="1"/>
  <c r="C9" i="20" s="1"/>
  <c r="F9" i="20" a="1"/>
  <c r="F9" i="20" s="1"/>
  <c r="B9" i="20" a="1"/>
  <c r="B9" i="20" s="1"/>
  <c r="G9" i="20" a="1"/>
  <c r="G9" i="20" s="1"/>
  <c r="D9" i="20" a="1"/>
  <c r="D9" i="20" s="1"/>
  <c r="I9" i="20" a="1"/>
  <c r="I9" i="20" s="1"/>
  <c r="J9" i="20" a="1"/>
  <c r="J9" i="20" s="1"/>
  <c r="K9" i="20" a="1"/>
  <c r="K9" i="20" s="1"/>
  <c r="M9" i="20" a="1"/>
  <c r="M9" i="20" s="1"/>
  <c r="L9" i="20" a="1"/>
  <c r="L9" i="20" s="1"/>
  <c r="E11" i="20" a="1"/>
  <c r="E11" i="20" s="1"/>
  <c r="H10" i="20" a="1"/>
  <c r="H10" i="20" s="1"/>
  <c r="G10" i="20" a="1"/>
  <c r="G10" i="20" s="1"/>
  <c r="A10" i="20" a="1"/>
  <c r="A10" i="20" s="1"/>
  <c r="F10" i="20" a="1"/>
  <c r="F10" i="20" s="1"/>
  <c r="C10" i="20" a="1"/>
  <c r="C10" i="20" s="1"/>
  <c r="D10" i="20" a="1"/>
  <c r="D10" i="20" s="1"/>
  <c r="B10" i="20" a="1"/>
  <c r="B10" i="20" s="1"/>
  <c r="I10" i="20" a="1"/>
  <c r="I10" i="20" s="1"/>
  <c r="K10" i="20" a="1"/>
  <c r="K10" i="20" s="1"/>
  <c r="J10" i="20" a="1"/>
  <c r="J10" i="20" s="1"/>
  <c r="M10" i="20" a="1"/>
  <c r="M10" i="20" s="1"/>
  <c r="L10" i="20" a="1"/>
  <c r="L10" i="20" s="1"/>
  <c r="B10" i="12"/>
  <c r="C10" i="12"/>
  <c r="D10" i="12"/>
  <c r="F10" i="12" s="1"/>
  <c r="E10" i="12"/>
  <c r="G10" i="12" s="1"/>
  <c r="L10" i="12"/>
  <c r="H10" i="12"/>
  <c r="K10" i="12"/>
  <c r="J10" i="12"/>
  <c r="I10" i="12"/>
  <c r="G117" i="13" l="1" a="1"/>
  <c r="G117" i="13" s="1"/>
  <c r="F117" i="13" a="1"/>
  <c r="F117" i="13" s="1"/>
  <c r="A118" i="13" a="1"/>
  <c r="A118" i="13" s="1"/>
  <c r="A119" i="13" s="1" a="1"/>
  <c r="A119" i="13" s="1"/>
  <c r="H119" i="13" s="1" a="1"/>
  <c r="H119" i="13" s="1"/>
  <c r="H117" i="13" a="1"/>
  <c r="H117" i="13" s="1"/>
  <c r="H11" i="20" a="1"/>
  <c r="H11" i="20" s="1"/>
  <c r="A11" i="20" a="1"/>
  <c r="A11" i="20" s="1"/>
  <c r="G11" i="20" a="1"/>
  <c r="G11" i="20" s="1"/>
  <c r="B11" i="20" a="1"/>
  <c r="B11" i="20" s="1"/>
  <c r="F11" i="20" a="1"/>
  <c r="F11" i="20" s="1"/>
  <c r="C11" i="20" a="1"/>
  <c r="C11" i="20" s="1"/>
  <c r="D11" i="20" a="1"/>
  <c r="D11" i="20" s="1"/>
  <c r="I11" i="20" a="1"/>
  <c r="I11" i="20" s="1"/>
  <c r="K11" i="20" a="1"/>
  <c r="K11" i="20" s="1"/>
  <c r="J11" i="20" a="1"/>
  <c r="J11" i="20" s="1"/>
  <c r="M11" i="20" a="1"/>
  <c r="M11" i="20" s="1"/>
  <c r="L11" i="20" a="1"/>
  <c r="L11" i="20" s="1"/>
  <c r="E12" i="20" a="1"/>
  <c r="E12" i="20" s="1"/>
  <c r="B11" i="12"/>
  <c r="C11" i="12"/>
  <c r="D11" i="12"/>
  <c r="F11" i="12" s="1"/>
  <c r="E11" i="12"/>
  <c r="G11" i="12" s="1"/>
  <c r="L11" i="12"/>
  <c r="K11" i="12"/>
  <c r="H11" i="12"/>
  <c r="I11" i="12"/>
  <c r="J11" i="12"/>
  <c r="G119" i="13" l="1" a="1"/>
  <c r="G119" i="13" s="1"/>
  <c r="B119" i="13" a="1"/>
  <c r="B119" i="13" s="1"/>
  <c r="G118" i="13" a="1"/>
  <c r="G118" i="13" s="1"/>
  <c r="F119" i="13" a="1"/>
  <c r="F119" i="13" s="1"/>
  <c r="A120" i="13" a="1"/>
  <c r="A120" i="13" s="1"/>
  <c r="G120" i="13" s="1" a="1"/>
  <c r="G120" i="13" s="1"/>
  <c r="B118" i="13" a="1"/>
  <c r="B118" i="13" s="1"/>
  <c r="F118" i="13" a="1"/>
  <c r="F118" i="13" s="1"/>
  <c r="H118" i="13" a="1"/>
  <c r="H118" i="13" s="1"/>
  <c r="E13" i="20" a="1"/>
  <c r="E13" i="20" s="1"/>
  <c r="H12" i="20" a="1"/>
  <c r="H12" i="20" s="1"/>
  <c r="B12" i="20" a="1"/>
  <c r="B12" i="20" s="1"/>
  <c r="G12" i="20" a="1"/>
  <c r="G12" i="20" s="1"/>
  <c r="C12" i="20" a="1"/>
  <c r="C12" i="20" s="1"/>
  <c r="F12" i="20" a="1"/>
  <c r="F12" i="20" s="1"/>
  <c r="A12" i="20" a="1"/>
  <c r="A12" i="20" s="1"/>
  <c r="D12" i="20" a="1"/>
  <c r="D12" i="20" s="1"/>
  <c r="I12" i="20" a="1"/>
  <c r="I12" i="20" s="1"/>
  <c r="J12" i="20" a="1"/>
  <c r="J12" i="20" s="1"/>
  <c r="K12" i="20" a="1"/>
  <c r="K12" i="20" s="1"/>
  <c r="M12" i="20" a="1"/>
  <c r="M12" i="20" s="1"/>
  <c r="L12" i="20" a="1"/>
  <c r="L12" i="20" s="1"/>
  <c r="B12" i="12"/>
  <c r="C12" i="12"/>
  <c r="D12" i="12"/>
  <c r="F12" i="12" s="1"/>
  <c r="E12" i="12"/>
  <c r="G12" i="12" s="1"/>
  <c r="L12" i="12"/>
  <c r="J12" i="12"/>
  <c r="K12" i="12"/>
  <c r="H12" i="12"/>
  <c r="I12" i="12"/>
  <c r="B120" i="13" l="1" a="1"/>
  <c r="B120" i="13" s="1"/>
  <c r="F120" i="13" a="1"/>
  <c r="F120" i="13" s="1"/>
  <c r="H120" i="13" a="1"/>
  <c r="H120" i="13" s="1"/>
  <c r="A121" i="13" a="1"/>
  <c r="A121" i="13" s="1"/>
  <c r="B121" i="13" s="1" a="1"/>
  <c r="B121" i="13" s="1"/>
  <c r="K35" i="12"/>
  <c r="J35" i="12"/>
  <c r="J38" i="12" s="1"/>
  <c r="I35" i="12"/>
  <c r="I38" i="12" s="1"/>
  <c r="H35" i="12"/>
  <c r="H38" i="12" s="1"/>
  <c r="H2" i="12"/>
  <c r="H109" i="13" a="1"/>
  <c r="H109" i="13" s="1"/>
  <c r="L2" i="20" a="1"/>
  <c r="L2" i="20" s="1"/>
  <c r="H13" i="20" a="1"/>
  <c r="H13" i="20" s="1"/>
  <c r="A13" i="20" a="1"/>
  <c r="A13" i="20" s="1"/>
  <c r="C13" i="20" a="1"/>
  <c r="C13" i="20" s="1"/>
  <c r="F13" i="20" a="1"/>
  <c r="F13" i="20" s="1"/>
  <c r="B13" i="20" a="1"/>
  <c r="B13" i="20" s="1"/>
  <c r="G13" i="20" a="1"/>
  <c r="G13" i="20" s="1"/>
  <c r="D13" i="20" a="1"/>
  <c r="D13" i="20" s="1"/>
  <c r="I13" i="20" a="1"/>
  <c r="I13" i="20" s="1"/>
  <c r="K13" i="20" a="1"/>
  <c r="K13" i="20" s="1"/>
  <c r="J13" i="20" a="1"/>
  <c r="J13" i="20" s="1"/>
  <c r="M13" i="20" a="1"/>
  <c r="M13" i="20" s="1"/>
  <c r="L13" i="20" a="1"/>
  <c r="L13" i="20" s="1"/>
  <c r="E14" i="20" a="1"/>
  <c r="E14" i="20" s="1"/>
  <c r="H110" i="13" a="1"/>
  <c r="H110" i="13" s="1"/>
  <c r="L3" i="20" a="1"/>
  <c r="L3" i="20" s="1"/>
  <c r="B13" i="12"/>
  <c r="C13" i="12"/>
  <c r="D13" i="12"/>
  <c r="F13" i="12" s="1"/>
  <c r="E13" i="12"/>
  <c r="G13" i="12" s="1"/>
  <c r="L13" i="12"/>
  <c r="H13" i="12"/>
  <c r="K13" i="12"/>
  <c r="I13" i="12"/>
  <c r="J13" i="12"/>
  <c r="I2" i="12"/>
  <c r="K2" i="12"/>
  <c r="K21" i="12" s="1"/>
  <c r="J2" i="12"/>
  <c r="H41" i="12"/>
  <c r="K41" i="12"/>
  <c r="K42" i="12"/>
  <c r="H42" i="12"/>
  <c r="J42" i="12"/>
  <c r="J41" i="12"/>
  <c r="I42" i="12"/>
  <c r="I41" i="12"/>
  <c r="J149" i="11"/>
  <c r="H121" i="13" l="1" a="1"/>
  <c r="H121" i="13" s="1"/>
  <c r="G121" i="13" a="1"/>
  <c r="G121" i="13" s="1"/>
  <c r="A122" i="13" a="1"/>
  <c r="A122" i="13" s="1"/>
  <c r="F122" i="13" s="1" a="1"/>
  <c r="F122" i="13" s="1"/>
  <c r="F121" i="13" a="1"/>
  <c r="F121" i="13" s="1"/>
  <c r="H43" i="12"/>
  <c r="J43" i="12"/>
  <c r="I43" i="12"/>
  <c r="K43" i="12"/>
  <c r="H14" i="20" a="1"/>
  <c r="H14" i="20" s="1"/>
  <c r="G14" i="20" a="1"/>
  <c r="G14" i="20" s="1"/>
  <c r="D14" i="20" a="1"/>
  <c r="D14" i="20" s="1"/>
  <c r="F14" i="20" a="1"/>
  <c r="F14" i="20" s="1"/>
  <c r="C14" i="20" a="1"/>
  <c r="C14" i="20" s="1"/>
  <c r="B14" i="20" a="1"/>
  <c r="B14" i="20" s="1"/>
  <c r="A14" i="20" a="1"/>
  <c r="A14" i="20" s="1"/>
  <c r="I14" i="20" a="1"/>
  <c r="I14" i="20" s="1"/>
  <c r="J14" i="20" a="1"/>
  <c r="J14" i="20" s="1"/>
  <c r="K14" i="20" a="1"/>
  <c r="K14" i="20" s="1"/>
  <c r="M14" i="20" a="1"/>
  <c r="M14" i="20" s="1"/>
  <c r="L14" i="20" a="1"/>
  <c r="L14" i="20" s="1"/>
  <c r="E15" i="20" a="1"/>
  <c r="E15" i="20" s="1"/>
  <c r="B14" i="12"/>
  <c r="C14" i="12"/>
  <c r="D14" i="12"/>
  <c r="F14" i="12" s="1"/>
  <c r="E14" i="12"/>
  <c r="G14" i="12" s="1"/>
  <c r="L14" i="12"/>
  <c r="K14" i="12"/>
  <c r="I14" i="12"/>
  <c r="H14" i="12"/>
  <c r="J14" i="12"/>
  <c r="J21" i="12" s="1"/>
  <c r="A123" i="13" l="1" a="1"/>
  <c r="A123" i="13" s="1"/>
  <c r="G123" i="13" s="1" a="1"/>
  <c r="G123" i="13" s="1"/>
  <c r="B122" i="13" a="1"/>
  <c r="B122" i="13" s="1"/>
  <c r="G122" i="13" a="1"/>
  <c r="G122" i="13" s="1"/>
  <c r="H122" i="13" a="1"/>
  <c r="H122" i="13" s="1"/>
  <c r="H15" i="20" a="1"/>
  <c r="H15" i="20" s="1"/>
  <c r="A15" i="20" a="1"/>
  <c r="A15" i="20" s="1"/>
  <c r="G15" i="20" a="1"/>
  <c r="G15" i="20" s="1"/>
  <c r="C15" i="20" a="1"/>
  <c r="C15" i="20" s="1"/>
  <c r="F15" i="20" a="1"/>
  <c r="F15" i="20" s="1"/>
  <c r="B15" i="20" a="1"/>
  <c r="B15" i="20" s="1"/>
  <c r="D15" i="20" a="1"/>
  <c r="D15" i="20" s="1"/>
  <c r="I15" i="20" a="1"/>
  <c r="I15" i="20" s="1"/>
  <c r="J15" i="20" a="1"/>
  <c r="J15" i="20" s="1"/>
  <c r="K15" i="20" a="1"/>
  <c r="K15" i="20" s="1"/>
  <c r="M15" i="20" a="1"/>
  <c r="M15" i="20" s="1"/>
  <c r="L15" i="20" a="1"/>
  <c r="L15" i="20" s="1"/>
  <c r="E16" i="20" a="1"/>
  <c r="E16" i="20" s="1"/>
  <c r="B15" i="12"/>
  <c r="C15" i="12"/>
  <c r="D15" i="12"/>
  <c r="F15" i="12" s="1"/>
  <c r="E15" i="12"/>
  <c r="G15" i="12" s="1"/>
  <c r="L15" i="12"/>
  <c r="K15" i="12"/>
  <c r="H15" i="12"/>
  <c r="I15" i="12"/>
  <c r="J15" i="12"/>
  <c r="H123" i="13" l="1" a="1"/>
  <c r="H123" i="13" s="1"/>
  <c r="F123" i="13" a="1"/>
  <c r="F123" i="13" s="1"/>
  <c r="B123" i="13" a="1"/>
  <c r="B123" i="13" s="1"/>
  <c r="A124" i="13" a="1"/>
  <c r="A124" i="13" s="1"/>
  <c r="F124" i="13" s="1" a="1"/>
  <c r="F124" i="13" s="1"/>
  <c r="H16" i="20" a="1"/>
  <c r="H16" i="20" s="1"/>
  <c r="B16" i="20" a="1"/>
  <c r="B16" i="20" s="1"/>
  <c r="G16" i="20" a="1"/>
  <c r="G16" i="20" s="1"/>
  <c r="C16" i="20" a="1"/>
  <c r="C16" i="20" s="1"/>
  <c r="F16" i="20" a="1"/>
  <c r="F16" i="20" s="1"/>
  <c r="A16" i="20" a="1"/>
  <c r="A16" i="20" s="1"/>
  <c r="D16" i="20" a="1"/>
  <c r="D16" i="20" s="1"/>
  <c r="I16" i="20" a="1"/>
  <c r="I16" i="20" s="1"/>
  <c r="K16" i="20" a="1"/>
  <c r="K16" i="20" s="1"/>
  <c r="J16" i="20" a="1"/>
  <c r="J16" i="20" s="1"/>
  <c r="M16" i="20" a="1"/>
  <c r="M16" i="20" s="1"/>
  <c r="L16" i="20" a="1"/>
  <c r="L16" i="20" s="1"/>
  <c r="E17" i="20" a="1"/>
  <c r="E17" i="20" s="1"/>
  <c r="B16" i="12"/>
  <c r="C16" i="12"/>
  <c r="D16" i="12"/>
  <c r="F16" i="12" s="1"/>
  <c r="E16" i="12"/>
  <c r="G16" i="12" s="1"/>
  <c r="L16" i="12"/>
  <c r="J16" i="12"/>
  <c r="H16" i="12"/>
  <c r="I16" i="12"/>
  <c r="K16" i="12"/>
  <c r="A125" i="13" l="1" a="1"/>
  <c r="A125" i="13" s="1"/>
  <c r="F125" i="13" s="1" a="1"/>
  <c r="F125" i="13" s="1"/>
  <c r="B124" i="13" a="1"/>
  <c r="B124" i="13" s="1"/>
  <c r="G124" i="13" a="1"/>
  <c r="G124" i="13" s="1"/>
  <c r="H124" i="13" a="1"/>
  <c r="H124" i="13" s="1"/>
  <c r="H17" i="20" a="1"/>
  <c r="H17" i="20" s="1"/>
  <c r="A17" i="20" a="1"/>
  <c r="A17" i="20" s="1"/>
  <c r="C17" i="20" a="1"/>
  <c r="C17" i="20" s="1"/>
  <c r="G17" i="20" a="1"/>
  <c r="G17" i="20" s="1"/>
  <c r="B17" i="20" a="1"/>
  <c r="B17" i="20" s="1"/>
  <c r="D17" i="20" a="1"/>
  <c r="D17" i="20" s="1"/>
  <c r="F17" i="20" a="1"/>
  <c r="F17" i="20" s="1"/>
  <c r="I17" i="20" a="1"/>
  <c r="I17" i="20" s="1"/>
  <c r="K17" i="20" a="1"/>
  <c r="K17" i="20" s="1"/>
  <c r="J17" i="20" a="1"/>
  <c r="J17" i="20" s="1"/>
  <c r="M17" i="20" a="1"/>
  <c r="M17" i="20" s="1"/>
  <c r="L17" i="20" a="1"/>
  <c r="L17" i="20" s="1"/>
  <c r="E18" i="20" a="1"/>
  <c r="E18" i="20" s="1"/>
  <c r="B17" i="12"/>
  <c r="C17" i="12"/>
  <c r="D17" i="12"/>
  <c r="F17" i="12" s="1"/>
  <c r="E17" i="12"/>
  <c r="G17" i="12" s="1"/>
  <c r="L17" i="12"/>
  <c r="H17" i="12"/>
  <c r="J17" i="12"/>
  <c r="I17" i="12"/>
  <c r="K17" i="12"/>
  <c r="A126" i="13" l="1" a="1"/>
  <c r="A126" i="13" s="1"/>
  <c r="G126" i="13" s="1" a="1"/>
  <c r="G126" i="13" s="1"/>
  <c r="B125" i="13" a="1"/>
  <c r="B125" i="13" s="1"/>
  <c r="G125" i="13" a="1"/>
  <c r="G125" i="13" s="1"/>
  <c r="H125" i="13" a="1"/>
  <c r="H125" i="13" s="1"/>
  <c r="H18" i="20" a="1"/>
  <c r="H18" i="20" s="1"/>
  <c r="D18" i="20" a="1"/>
  <c r="D18" i="20" s="1"/>
  <c r="A18" i="20" a="1"/>
  <c r="A18" i="20" s="1"/>
  <c r="F18" i="20" a="1"/>
  <c r="F18" i="20" s="1"/>
  <c r="C18" i="20" a="1"/>
  <c r="C18" i="20" s="1"/>
  <c r="G18" i="20" a="1"/>
  <c r="G18" i="20" s="1"/>
  <c r="B18" i="20" a="1"/>
  <c r="B18" i="20" s="1"/>
  <c r="I18" i="20" a="1"/>
  <c r="I18" i="20" s="1"/>
  <c r="J18" i="20" a="1"/>
  <c r="J18" i="20" s="1"/>
  <c r="K18" i="20" a="1"/>
  <c r="K18" i="20" s="1"/>
  <c r="M18" i="20" a="1"/>
  <c r="M18" i="20" s="1"/>
  <c r="L18" i="20" a="1"/>
  <c r="L18" i="20" s="1"/>
  <c r="E19" i="20" a="1"/>
  <c r="E19" i="20" s="1"/>
  <c r="B18" i="12"/>
  <c r="C18" i="12"/>
  <c r="D18" i="12"/>
  <c r="F18" i="12" s="1"/>
  <c r="E18" i="12"/>
  <c r="G18" i="12" s="1"/>
  <c r="L18" i="12"/>
  <c r="K18" i="12"/>
  <c r="I18" i="12"/>
  <c r="J18" i="12"/>
  <c r="H18" i="12"/>
  <c r="H126" i="13" l="1" a="1"/>
  <c r="H126" i="13" s="1"/>
  <c r="F126" i="13" a="1"/>
  <c r="F126" i="13" s="1"/>
  <c r="A127" i="13" a="1"/>
  <c r="A127" i="13" s="1"/>
  <c r="F127" i="13" s="1" a="1"/>
  <c r="F127" i="13" s="1"/>
  <c r="B126" i="13" a="1"/>
  <c r="B126" i="13" s="1"/>
  <c r="G19" i="20" a="1"/>
  <c r="G19" i="20" s="1"/>
  <c r="C19" i="20" a="1"/>
  <c r="C19" i="20" s="1"/>
  <c r="F19" i="20" a="1"/>
  <c r="F19" i="20" s="1"/>
  <c r="H19" i="20" a="1"/>
  <c r="H19" i="20" s="1"/>
  <c r="D19" i="20" a="1"/>
  <c r="D19" i="20" s="1"/>
  <c r="B19" i="20" a="1"/>
  <c r="B19" i="20" s="1"/>
  <c r="A19" i="20" a="1"/>
  <c r="A19" i="20" s="1"/>
  <c r="I19" i="20" a="1"/>
  <c r="I19" i="20" s="1"/>
  <c r="J19" i="20" a="1"/>
  <c r="J19" i="20" s="1"/>
  <c r="K19" i="20" a="1"/>
  <c r="K19" i="20" s="1"/>
  <c r="M19" i="20" a="1"/>
  <c r="M19" i="20" s="1"/>
  <c r="L19" i="20" a="1"/>
  <c r="L19" i="20" s="1"/>
  <c r="E20" i="20" a="1"/>
  <c r="E20" i="20" s="1"/>
  <c r="B20" i="12"/>
  <c r="H20" i="12"/>
  <c r="C20" i="12"/>
  <c r="I20" i="12"/>
  <c r="D20" i="12"/>
  <c r="F20" i="12" s="1"/>
  <c r="J20" i="12"/>
  <c r="E20" i="12"/>
  <c r="G20" i="12" s="1"/>
  <c r="K20" i="12"/>
  <c r="L20" i="12"/>
  <c r="B19" i="12"/>
  <c r="C19" i="12"/>
  <c r="D19" i="12"/>
  <c r="F19" i="12" s="1"/>
  <c r="E19" i="12"/>
  <c r="G19" i="12" s="1"/>
  <c r="L19" i="12"/>
  <c r="K19" i="12"/>
  <c r="H19" i="12"/>
  <c r="J19" i="12"/>
  <c r="I19" i="12"/>
  <c r="A128" i="13" l="1" a="1"/>
  <c r="A128" i="13" s="1"/>
  <c r="G128" i="13" s="1" a="1"/>
  <c r="G128" i="13" s="1"/>
  <c r="B127" i="13" a="1"/>
  <c r="B127" i="13" s="1"/>
  <c r="G127" i="13" a="1"/>
  <c r="G127" i="13" s="1"/>
  <c r="H127" i="13" a="1"/>
  <c r="H127" i="13" s="1"/>
  <c r="I21" i="12"/>
  <c r="H21" i="12"/>
  <c r="B21" i="12"/>
  <c r="D21" i="12"/>
  <c r="F21" i="12" s="1"/>
  <c r="C21" i="12"/>
  <c r="E21" i="12"/>
  <c r="G21" i="12" s="1"/>
  <c r="H20" i="20" a="1"/>
  <c r="H20" i="20" s="1"/>
  <c r="C20" i="20" a="1"/>
  <c r="C20" i="20" s="1"/>
  <c r="G20" i="20" a="1"/>
  <c r="G20" i="20" s="1"/>
  <c r="A20" i="20" a="1"/>
  <c r="A20" i="20" s="1"/>
  <c r="F20" i="20" a="1"/>
  <c r="F20" i="20" s="1"/>
  <c r="B20" i="20" a="1"/>
  <c r="B20" i="20" s="1"/>
  <c r="D20" i="20" a="1"/>
  <c r="D20" i="20" s="1"/>
  <c r="I20" i="20" a="1"/>
  <c r="I20" i="20" s="1"/>
  <c r="J20" i="20" a="1"/>
  <c r="J20" i="20" s="1"/>
  <c r="K20" i="20" a="1"/>
  <c r="K20" i="20" s="1"/>
  <c r="M20" i="20" a="1"/>
  <c r="M20" i="20" s="1"/>
  <c r="L20" i="20" a="1"/>
  <c r="L20" i="20" s="1"/>
  <c r="E21" i="20" a="1"/>
  <c r="E21" i="20" s="1"/>
  <c r="F128" i="13" l="1" a="1"/>
  <c r="F128" i="13" s="1"/>
  <c r="B128" i="13" a="1"/>
  <c r="B128" i="13" s="1"/>
  <c r="H128" i="13" a="1"/>
  <c r="H128" i="13" s="1"/>
  <c r="A129" i="13" a="1"/>
  <c r="A129" i="13" s="1"/>
  <c r="F129" i="13" s="1" a="1"/>
  <c r="F129" i="13" s="1"/>
  <c r="H21" i="20" a="1"/>
  <c r="H21" i="20" s="1"/>
  <c r="D21" i="20" a="1"/>
  <c r="D21" i="20" s="1"/>
  <c r="C21" i="20" a="1"/>
  <c r="C21" i="20" s="1"/>
  <c r="A21" i="20" a="1"/>
  <c r="A21" i="20" s="1"/>
  <c r="B21" i="20" a="1"/>
  <c r="B21" i="20" s="1"/>
  <c r="F21" i="20" a="1"/>
  <c r="F21" i="20" s="1"/>
  <c r="G21" i="20" a="1"/>
  <c r="G21" i="20" s="1"/>
  <c r="I21" i="20" a="1"/>
  <c r="I21" i="20" s="1"/>
  <c r="J21" i="20" a="1"/>
  <c r="J21" i="20" s="1"/>
  <c r="K21" i="20" a="1"/>
  <c r="K21" i="20" s="1"/>
  <c r="M21" i="20" a="1"/>
  <c r="M21" i="20" s="1"/>
  <c r="L21" i="20" a="1"/>
  <c r="L21" i="20" s="1"/>
  <c r="E22" i="20" a="1"/>
  <c r="E22" i="20" s="1"/>
  <c r="A130" i="13" l="1" a="1"/>
  <c r="A130" i="13" s="1"/>
  <c r="G130" i="13" s="1" a="1"/>
  <c r="G130" i="13" s="1"/>
  <c r="G129" i="13" a="1"/>
  <c r="G129" i="13" s="1"/>
  <c r="H129" i="13" a="1"/>
  <c r="H129" i="13" s="1"/>
  <c r="B129" i="13" a="1"/>
  <c r="B129" i="13" s="1"/>
  <c r="H22" i="20" a="1"/>
  <c r="H22" i="20" s="1"/>
  <c r="F22" i="20" a="1"/>
  <c r="F22" i="20" s="1"/>
  <c r="C22" i="20" a="1"/>
  <c r="C22" i="20" s="1"/>
  <c r="G22" i="20" a="1"/>
  <c r="G22" i="20" s="1"/>
  <c r="B22" i="20" a="1"/>
  <c r="B22" i="20" s="1"/>
  <c r="D22" i="20" a="1"/>
  <c r="D22" i="20" s="1"/>
  <c r="A22" i="20" a="1"/>
  <c r="A22" i="20" s="1"/>
  <c r="I22" i="20" a="1"/>
  <c r="I22" i="20" s="1"/>
  <c r="K22" i="20" a="1"/>
  <c r="K22" i="20" s="1"/>
  <c r="J22" i="20" a="1"/>
  <c r="J22" i="20" s="1"/>
  <c r="M22" i="20" a="1"/>
  <c r="M22" i="20" s="1"/>
  <c r="L22" i="20" a="1"/>
  <c r="L22" i="20" s="1"/>
  <c r="E23" i="20" a="1"/>
  <c r="E23" i="20" s="1"/>
  <c r="B130" i="13" l="1" a="1"/>
  <c r="B130" i="13" s="1"/>
  <c r="F130" i="13" a="1"/>
  <c r="F130" i="13" s="1"/>
  <c r="A131" i="13" a="1"/>
  <c r="A131" i="13" s="1"/>
  <c r="F131" i="13" s="1" a="1"/>
  <c r="F131" i="13" s="1"/>
  <c r="H130" i="13" a="1"/>
  <c r="H130" i="13" s="1"/>
  <c r="H23" i="20" a="1"/>
  <c r="H23" i="20" s="1"/>
  <c r="A23" i="20" a="1"/>
  <c r="A23" i="20" s="1"/>
  <c r="G23" i="20" a="1"/>
  <c r="G23" i="20" s="1"/>
  <c r="B23" i="20" a="1"/>
  <c r="B23" i="20" s="1"/>
  <c r="F23" i="20" a="1"/>
  <c r="F23" i="20" s="1"/>
  <c r="C23" i="20" a="1"/>
  <c r="C23" i="20" s="1"/>
  <c r="D23" i="20" a="1"/>
  <c r="D23" i="20" s="1"/>
  <c r="I23" i="20" a="1"/>
  <c r="I23" i="20" s="1"/>
  <c r="K23" i="20" a="1"/>
  <c r="K23" i="20" s="1"/>
  <c r="J23" i="20" a="1"/>
  <c r="J23" i="20" s="1"/>
  <c r="M23" i="20" a="1"/>
  <c r="M23" i="20" s="1"/>
  <c r="L23" i="20" a="1"/>
  <c r="L23" i="20" s="1"/>
  <c r="E24" i="20" a="1"/>
  <c r="E24" i="20" s="1"/>
  <c r="A132" i="13" l="1" a="1"/>
  <c r="A132" i="13" s="1"/>
  <c r="G132" i="13" s="1" a="1"/>
  <c r="G132" i="13" s="1"/>
  <c r="B131" i="13" a="1"/>
  <c r="B131" i="13" s="1"/>
  <c r="G131" i="13" a="1"/>
  <c r="G131" i="13" s="1"/>
  <c r="H131" i="13" a="1"/>
  <c r="H131" i="13" s="1"/>
  <c r="H24" i="20" a="1"/>
  <c r="H24" i="20" s="1"/>
  <c r="A24" i="20" a="1"/>
  <c r="A24" i="20" s="1"/>
  <c r="G24" i="20" a="1"/>
  <c r="G24" i="20" s="1"/>
  <c r="B24" i="20" a="1"/>
  <c r="B24" i="20" s="1"/>
  <c r="F24" i="20" a="1"/>
  <c r="F24" i="20" s="1"/>
  <c r="C24" i="20" a="1"/>
  <c r="C24" i="20" s="1"/>
  <c r="D24" i="20" a="1"/>
  <c r="D24" i="20" s="1"/>
  <c r="I24" i="20" a="1"/>
  <c r="I24" i="20" s="1"/>
  <c r="J24" i="20" a="1"/>
  <c r="J24" i="20" s="1"/>
  <c r="K24" i="20" a="1"/>
  <c r="K24" i="20" s="1"/>
  <c r="M24" i="20" a="1"/>
  <c r="M24" i="20" s="1"/>
  <c r="L24" i="20" a="1"/>
  <c r="L24" i="20" s="1"/>
  <c r="E25" i="20" a="1"/>
  <c r="E25" i="20" s="1"/>
  <c r="H132" i="13" l="1" a="1"/>
  <c r="H132" i="13" s="1"/>
  <c r="F132" i="13" a="1"/>
  <c r="F132" i="13" s="1"/>
  <c r="A133" i="13" a="1"/>
  <c r="A133" i="13" s="1"/>
  <c r="F133" i="13" s="1" a="1"/>
  <c r="F133" i="13" s="1"/>
  <c r="B132" i="13" a="1"/>
  <c r="B132" i="13" s="1"/>
  <c r="H25" i="20" a="1"/>
  <c r="H25" i="20" s="1"/>
  <c r="A25" i="20" a="1"/>
  <c r="A25" i="20" s="1"/>
  <c r="C25" i="20" a="1"/>
  <c r="C25" i="20" s="1"/>
  <c r="F25" i="20" a="1"/>
  <c r="F25" i="20" s="1"/>
  <c r="B25" i="20" a="1"/>
  <c r="B25" i="20" s="1"/>
  <c r="G25" i="20" a="1"/>
  <c r="G25" i="20" s="1"/>
  <c r="D25" i="20" a="1"/>
  <c r="D25" i="20" s="1"/>
  <c r="I25" i="20" a="1"/>
  <c r="I25" i="20" s="1"/>
  <c r="K25" i="20" a="1"/>
  <c r="K25" i="20" s="1"/>
  <c r="J25" i="20" a="1"/>
  <c r="J25" i="20" s="1"/>
  <c r="M25" i="20" a="1"/>
  <c r="M25" i="20" s="1"/>
  <c r="L25" i="20" a="1"/>
  <c r="L25" i="20" s="1"/>
  <c r="E26" i="20" a="1"/>
  <c r="E26" i="20" s="1"/>
  <c r="A134" i="13" l="1" a="1"/>
  <c r="A134" i="13" s="1"/>
  <c r="G134" i="13" s="1" a="1"/>
  <c r="G134" i="13" s="1"/>
  <c r="B133" i="13" a="1"/>
  <c r="B133" i="13" s="1"/>
  <c r="G133" i="13" a="1"/>
  <c r="G133" i="13" s="1"/>
  <c r="H133" i="13" a="1"/>
  <c r="H133" i="13" s="1"/>
  <c r="H26" i="20" a="1"/>
  <c r="H26" i="20" s="1"/>
  <c r="G26" i="20" a="1"/>
  <c r="G26" i="20" s="1"/>
  <c r="A26" i="20" a="1"/>
  <c r="A26" i="20" s="1"/>
  <c r="F26" i="20" a="1"/>
  <c r="F26" i="20" s="1"/>
  <c r="C26" i="20" a="1"/>
  <c r="C26" i="20" s="1"/>
  <c r="D26" i="20" a="1"/>
  <c r="D26" i="20" s="1"/>
  <c r="B26" i="20" a="1"/>
  <c r="B26" i="20" s="1"/>
  <c r="I26" i="20" a="1"/>
  <c r="I26" i="20" s="1"/>
  <c r="K26" i="20" a="1"/>
  <c r="K26" i="20" s="1"/>
  <c r="J26" i="20" a="1"/>
  <c r="J26" i="20" s="1"/>
  <c r="M26" i="20" a="1"/>
  <c r="M26" i="20" s="1"/>
  <c r="L26" i="20" a="1"/>
  <c r="L26" i="20" s="1"/>
  <c r="E27" i="20" a="1"/>
  <c r="E27" i="20" s="1"/>
  <c r="B134" i="13" l="1" a="1"/>
  <c r="B134" i="13" s="1"/>
  <c r="F134" i="13" a="1"/>
  <c r="F134" i="13" s="1"/>
  <c r="H134" i="13" a="1"/>
  <c r="H134" i="13" s="1"/>
  <c r="A135" i="13" a="1"/>
  <c r="A135" i="13" s="1"/>
  <c r="F135" i="13" s="1" a="1"/>
  <c r="F135" i="13" s="1"/>
  <c r="H27" i="20" a="1"/>
  <c r="H27" i="20" s="1"/>
  <c r="A27" i="20" a="1"/>
  <c r="A27" i="20" s="1"/>
  <c r="G27" i="20" a="1"/>
  <c r="G27" i="20" s="1"/>
  <c r="B27" i="20" a="1"/>
  <c r="B27" i="20" s="1"/>
  <c r="F27" i="20" a="1"/>
  <c r="F27" i="20" s="1"/>
  <c r="C27" i="20" a="1"/>
  <c r="C27" i="20" s="1"/>
  <c r="D27" i="20" a="1"/>
  <c r="D27" i="20" s="1"/>
  <c r="I27" i="20" a="1"/>
  <c r="I27" i="20" s="1"/>
  <c r="K27" i="20" a="1"/>
  <c r="K27" i="20" s="1"/>
  <c r="J27" i="20" a="1"/>
  <c r="J27" i="20" s="1"/>
  <c r="M27" i="20" a="1"/>
  <c r="M27" i="20" s="1"/>
  <c r="L27" i="20" a="1"/>
  <c r="L27" i="20" s="1"/>
  <c r="E28" i="20" a="1"/>
  <c r="E28" i="20" s="1"/>
  <c r="A136" i="13" l="1" a="1"/>
  <c r="A136" i="13" s="1"/>
  <c r="G136" i="13" s="1" a="1"/>
  <c r="G136" i="13" s="1"/>
  <c r="B135" i="13" a="1"/>
  <c r="B135" i="13" s="1"/>
  <c r="G135" i="13" a="1"/>
  <c r="G135" i="13" s="1"/>
  <c r="H135" i="13" a="1"/>
  <c r="H135" i="13" s="1"/>
  <c r="H28" i="20" a="1"/>
  <c r="H28" i="20" s="1"/>
  <c r="B28" i="20" a="1"/>
  <c r="B28" i="20" s="1"/>
  <c r="G28" i="20" a="1"/>
  <c r="G28" i="20" s="1"/>
  <c r="C28" i="20" a="1"/>
  <c r="C28" i="20" s="1"/>
  <c r="F28" i="20" a="1"/>
  <c r="F28" i="20" s="1"/>
  <c r="A28" i="20" a="1"/>
  <c r="A28" i="20" s="1"/>
  <c r="D28" i="20" a="1"/>
  <c r="D28" i="20" s="1"/>
  <c r="I28" i="20" a="1"/>
  <c r="I28" i="20" s="1"/>
  <c r="K28" i="20" a="1"/>
  <c r="K28" i="20" s="1"/>
  <c r="J28" i="20" a="1"/>
  <c r="J28" i="20" s="1"/>
  <c r="M28" i="20" a="1"/>
  <c r="M28" i="20" s="1"/>
  <c r="L28" i="20" a="1"/>
  <c r="L28" i="20" s="1"/>
  <c r="E29" i="20" a="1"/>
  <c r="E29" i="20" s="1"/>
  <c r="H136" i="13" l="1" a="1"/>
  <c r="H136" i="13" s="1"/>
  <c r="F136" i="13" a="1"/>
  <c r="F136" i="13" s="1"/>
  <c r="A137" i="13" a="1"/>
  <c r="A137" i="13" s="1"/>
  <c r="H137" i="13" s="1" a="1"/>
  <c r="H137" i="13" s="1"/>
  <c r="B136" i="13" a="1"/>
  <c r="B136" i="13" s="1"/>
  <c r="H29" i="20" a="1"/>
  <c r="H29" i="20" s="1"/>
  <c r="F29" i="20" a="1"/>
  <c r="F29" i="20" s="1"/>
  <c r="C29" i="20" a="1"/>
  <c r="C29" i="20" s="1"/>
  <c r="A29" i="20" a="1"/>
  <c r="A29" i="20" s="1"/>
  <c r="B29" i="20" a="1"/>
  <c r="B29" i="20" s="1"/>
  <c r="G29" i="20" a="1"/>
  <c r="G29" i="20" s="1"/>
  <c r="D29" i="20" a="1"/>
  <c r="D29" i="20" s="1"/>
  <c r="I29" i="20" a="1"/>
  <c r="I29" i="20" s="1"/>
  <c r="K29" i="20" a="1"/>
  <c r="K29" i="20" s="1"/>
  <c r="J29" i="20" a="1"/>
  <c r="J29" i="20" s="1"/>
  <c r="M29" i="20" a="1"/>
  <c r="M29" i="20" s="1"/>
  <c r="L29" i="20" a="1"/>
  <c r="L29" i="20" s="1"/>
  <c r="E30" i="20" a="1"/>
  <c r="E30" i="20" s="1"/>
  <c r="F137" i="13" l="1" a="1"/>
  <c r="F137" i="13" s="1"/>
  <c r="A138" i="13" a="1"/>
  <c r="A138" i="13" s="1"/>
  <c r="G138" i="13" s="1" a="1"/>
  <c r="G138" i="13" s="1"/>
  <c r="B137" i="13" a="1"/>
  <c r="B137" i="13" s="1"/>
  <c r="G137" i="13" a="1"/>
  <c r="G137" i="13" s="1"/>
  <c r="H30" i="20" a="1"/>
  <c r="H30" i="20" s="1"/>
  <c r="F30" i="20" a="1"/>
  <c r="F30" i="20" s="1"/>
  <c r="C30" i="20" a="1"/>
  <c r="C30" i="20" s="1"/>
  <c r="A30" i="20" a="1"/>
  <c r="A30" i="20" s="1"/>
  <c r="B30" i="20" a="1"/>
  <c r="B30" i="20" s="1"/>
  <c r="G30" i="20" a="1"/>
  <c r="G30" i="20" s="1"/>
  <c r="D30" i="20" a="1"/>
  <c r="D30" i="20" s="1"/>
  <c r="I30" i="20" a="1"/>
  <c r="I30" i="20" s="1"/>
  <c r="J30" i="20" a="1"/>
  <c r="J30" i="20" s="1"/>
  <c r="K30" i="20" a="1"/>
  <c r="K30" i="20" s="1"/>
  <c r="M30" i="20" a="1"/>
  <c r="M30" i="20" s="1"/>
  <c r="L30" i="20" a="1"/>
  <c r="L30" i="20" s="1"/>
  <c r="E31" i="20" a="1"/>
  <c r="E31" i="20" s="1"/>
  <c r="H138" i="13" l="1" a="1"/>
  <c r="H138" i="13" s="1"/>
  <c r="F138" i="13" a="1"/>
  <c r="F138" i="13" s="1"/>
  <c r="A139" i="13" a="1"/>
  <c r="A139" i="13" s="1"/>
  <c r="G139" i="13" s="1" a="1"/>
  <c r="G139" i="13" s="1"/>
  <c r="B138" i="13" a="1"/>
  <c r="B138" i="13" s="1"/>
  <c r="H31" i="20" a="1"/>
  <c r="H31" i="20" s="1"/>
  <c r="C31" i="20" a="1"/>
  <c r="C31" i="20" s="1"/>
  <c r="G31" i="20" a="1"/>
  <c r="G31" i="20" s="1"/>
  <c r="A31" i="20" a="1"/>
  <c r="A31" i="20" s="1"/>
  <c r="F31" i="20" a="1"/>
  <c r="F31" i="20" s="1"/>
  <c r="B31" i="20" a="1"/>
  <c r="B31" i="20" s="1"/>
  <c r="D31" i="20" a="1"/>
  <c r="D31" i="20" s="1"/>
  <c r="I31" i="20" a="1"/>
  <c r="I31" i="20" s="1"/>
  <c r="K31" i="20" a="1"/>
  <c r="K31" i="20" s="1"/>
  <c r="J31" i="20" a="1"/>
  <c r="J31" i="20" s="1"/>
  <c r="M31" i="20" a="1"/>
  <c r="M31" i="20" s="1"/>
  <c r="L31" i="20" a="1"/>
  <c r="L31" i="20" s="1"/>
  <c r="E32" i="20" a="1"/>
  <c r="E32" i="20" s="1"/>
  <c r="B139" i="13" l="1" a="1"/>
  <c r="B139" i="13" s="1"/>
  <c r="F139" i="13" a="1"/>
  <c r="F139" i="13" s="1"/>
  <c r="H139" i="13" a="1"/>
  <c r="H139" i="13" s="1"/>
  <c r="A140" i="13" a="1"/>
  <c r="A140" i="13" s="1"/>
  <c r="G140" i="13" s="1" a="1"/>
  <c r="G140" i="13" s="1"/>
  <c r="H32" i="20" a="1"/>
  <c r="H32" i="20" s="1"/>
  <c r="B32" i="20" a="1"/>
  <c r="B32" i="20" s="1"/>
  <c r="G32" i="20" a="1"/>
  <c r="G32" i="20" s="1"/>
  <c r="C32" i="20" a="1"/>
  <c r="C32" i="20" s="1"/>
  <c r="F32" i="20" a="1"/>
  <c r="F32" i="20" s="1"/>
  <c r="A32" i="20" a="1"/>
  <c r="A32" i="20" s="1"/>
  <c r="D32" i="20" a="1"/>
  <c r="D32" i="20" s="1"/>
  <c r="I32" i="20" a="1"/>
  <c r="I32" i="20" s="1"/>
  <c r="J32" i="20" a="1"/>
  <c r="J32" i="20" s="1"/>
  <c r="K32" i="20" a="1"/>
  <c r="K32" i="20" s="1"/>
  <c r="M32" i="20" a="1"/>
  <c r="M32" i="20" s="1"/>
  <c r="L32" i="20" a="1"/>
  <c r="L32" i="20" s="1"/>
  <c r="E33" i="20" a="1"/>
  <c r="E33" i="20" s="1"/>
  <c r="A141" i="13" l="1" a="1"/>
  <c r="A141" i="13" s="1"/>
  <c r="F141" i="13" s="1" a="1"/>
  <c r="F141" i="13" s="1"/>
  <c r="H140" i="13" a="1"/>
  <c r="H140" i="13" s="1"/>
  <c r="F140" i="13" a="1"/>
  <c r="F140" i="13" s="1"/>
  <c r="B140" i="13" a="1"/>
  <c r="B140" i="13" s="1"/>
  <c r="H33" i="20" a="1"/>
  <c r="H33" i="20" s="1"/>
  <c r="A33" i="20" a="1"/>
  <c r="A33" i="20" s="1"/>
  <c r="C33" i="20" a="1"/>
  <c r="C33" i="20" s="1"/>
  <c r="G33" i="20" a="1"/>
  <c r="G33" i="20" s="1"/>
  <c r="B33" i="20" a="1"/>
  <c r="B33" i="20" s="1"/>
  <c r="D33" i="20" a="1"/>
  <c r="D33" i="20" s="1"/>
  <c r="F33" i="20" a="1"/>
  <c r="F33" i="20" s="1"/>
  <c r="I33" i="20" a="1"/>
  <c r="I33" i="20" s="1"/>
  <c r="J33" i="20" a="1"/>
  <c r="J33" i="20" s="1"/>
  <c r="K33" i="20" a="1"/>
  <c r="K33" i="20" s="1"/>
  <c r="M33" i="20" a="1"/>
  <c r="M33" i="20" s="1"/>
  <c r="L33" i="20" a="1"/>
  <c r="L33" i="20" s="1"/>
  <c r="E34" i="20" a="1"/>
  <c r="E34" i="20" s="1"/>
  <c r="A142" i="13" l="1" a="1"/>
  <c r="A142" i="13" s="1"/>
  <c r="G142" i="13" s="1" a="1"/>
  <c r="G142" i="13" s="1"/>
  <c r="B141" i="13" a="1"/>
  <c r="B141" i="13" s="1"/>
  <c r="G141" i="13" a="1"/>
  <c r="G141" i="13" s="1"/>
  <c r="H141" i="13" a="1"/>
  <c r="H141" i="13" s="1"/>
  <c r="H34" i="20" a="1"/>
  <c r="H34" i="20" s="1"/>
  <c r="A34" i="20" a="1"/>
  <c r="A34" i="20" s="1"/>
  <c r="C34" i="20" a="1"/>
  <c r="C34" i="20" s="1"/>
  <c r="F34" i="20" a="1"/>
  <c r="F34" i="20" s="1"/>
  <c r="B34" i="20" a="1"/>
  <c r="B34" i="20" s="1"/>
  <c r="G34" i="20" a="1"/>
  <c r="G34" i="20" s="1"/>
  <c r="D34" i="20" a="1"/>
  <c r="D34" i="20" s="1"/>
  <c r="I34" i="20" a="1"/>
  <c r="I34" i="20" s="1"/>
  <c r="K34" i="20" a="1"/>
  <c r="K34" i="20" s="1"/>
  <c r="J34" i="20" a="1"/>
  <c r="J34" i="20" s="1"/>
  <c r="M34" i="20" a="1"/>
  <c r="M34" i="20" s="1"/>
  <c r="L34" i="20" a="1"/>
  <c r="L34" i="20" s="1"/>
  <c r="E35" i="20" a="1"/>
  <c r="E35" i="20" s="1"/>
  <c r="H142" i="13" l="1" a="1"/>
  <c r="H142" i="13" s="1"/>
  <c r="F142" i="13" a="1"/>
  <c r="F142" i="13" s="1"/>
  <c r="A143" i="13" a="1"/>
  <c r="A143" i="13" s="1"/>
  <c r="F143" i="13" s="1" a="1"/>
  <c r="F143" i="13" s="1"/>
  <c r="B142" i="13" a="1"/>
  <c r="B142" i="13" s="1"/>
  <c r="H35" i="20" a="1"/>
  <c r="H35" i="20" s="1"/>
  <c r="C35" i="20" a="1"/>
  <c r="C35" i="20" s="1"/>
  <c r="G35" i="20" a="1"/>
  <c r="G35" i="20" s="1"/>
  <c r="B35" i="20" a="1"/>
  <c r="B35" i="20" s="1"/>
  <c r="F35" i="20" a="1"/>
  <c r="F35" i="20" s="1"/>
  <c r="A35" i="20" a="1"/>
  <c r="A35" i="20" s="1"/>
  <c r="D35" i="20" a="1"/>
  <c r="D35" i="20" s="1"/>
  <c r="I35" i="20" a="1"/>
  <c r="I35" i="20" s="1"/>
  <c r="K35" i="20" a="1"/>
  <c r="K35" i="20" s="1"/>
  <c r="J35" i="20" a="1"/>
  <c r="J35" i="20" s="1"/>
  <c r="M35" i="20" a="1"/>
  <c r="M35" i="20" s="1"/>
  <c r="L35" i="20" a="1"/>
  <c r="L35" i="20" s="1"/>
  <c r="E36" i="20" a="1"/>
  <c r="E36" i="20" s="1"/>
  <c r="A144" i="13" l="1" a="1"/>
  <c r="A144" i="13" s="1"/>
  <c r="F144" i="13" s="1" a="1"/>
  <c r="F144" i="13" s="1"/>
  <c r="B143" i="13" a="1"/>
  <c r="B143" i="13" s="1"/>
  <c r="G143" i="13" a="1"/>
  <c r="G143" i="13" s="1"/>
  <c r="H143" i="13" a="1"/>
  <c r="H143" i="13" s="1"/>
  <c r="H36" i="20" a="1"/>
  <c r="H36" i="20" s="1"/>
  <c r="C36" i="20" a="1"/>
  <c r="C36" i="20" s="1"/>
  <c r="G36" i="20" a="1"/>
  <c r="G36" i="20" s="1"/>
  <c r="B36" i="20" a="1"/>
  <c r="B36" i="20" s="1"/>
  <c r="F36" i="20" a="1"/>
  <c r="F36" i="20" s="1"/>
  <c r="A36" i="20" a="1"/>
  <c r="A36" i="20" s="1"/>
  <c r="D36" i="20" a="1"/>
  <c r="D36" i="20" s="1"/>
  <c r="I36" i="20" a="1"/>
  <c r="I36" i="20" s="1"/>
  <c r="K36" i="20" a="1"/>
  <c r="K36" i="20" s="1"/>
  <c r="J36" i="20" a="1"/>
  <c r="J36" i="20" s="1"/>
  <c r="M36" i="20" a="1"/>
  <c r="M36" i="20" s="1"/>
  <c r="L36" i="20" a="1"/>
  <c r="L36" i="20" s="1"/>
  <c r="E37" i="20" a="1"/>
  <c r="E37" i="20" s="1"/>
  <c r="A145" i="13" l="1" a="1"/>
  <c r="A145" i="13" s="1"/>
  <c r="G145" i="13" s="1" a="1"/>
  <c r="G145" i="13" s="1"/>
  <c r="B144" i="13" a="1"/>
  <c r="B144" i="13" s="1"/>
  <c r="G144" i="13" a="1"/>
  <c r="G144" i="13" s="1"/>
  <c r="H144" i="13" a="1"/>
  <c r="H144" i="13" s="1"/>
  <c r="H37" i="20" a="1"/>
  <c r="H37" i="20" s="1"/>
  <c r="A37" i="20" a="1"/>
  <c r="A37" i="20" s="1"/>
  <c r="C37" i="20" a="1"/>
  <c r="C37" i="20" s="1"/>
  <c r="D37" i="20" a="1"/>
  <c r="D37" i="20" s="1"/>
  <c r="B37" i="20" a="1"/>
  <c r="B37" i="20" s="1"/>
  <c r="F37" i="20" a="1"/>
  <c r="F37" i="20" s="1"/>
  <c r="G37" i="20" a="1"/>
  <c r="G37" i="20" s="1"/>
  <c r="I37" i="20" a="1"/>
  <c r="I37" i="20" s="1"/>
  <c r="K37" i="20" a="1"/>
  <c r="K37" i="20" s="1"/>
  <c r="J37" i="20" a="1"/>
  <c r="J37" i="20" s="1"/>
  <c r="M37" i="20" a="1"/>
  <c r="M37" i="20" s="1"/>
  <c r="L37" i="20" a="1"/>
  <c r="L37" i="20" s="1"/>
  <c r="E38" i="20" a="1"/>
  <c r="E38" i="20" s="1"/>
  <c r="H145" i="13" l="1" a="1"/>
  <c r="H145" i="13" s="1"/>
  <c r="F145" i="13" a="1"/>
  <c r="F145" i="13" s="1"/>
  <c r="A146" i="13" a="1"/>
  <c r="A146" i="13" s="1"/>
  <c r="F146" i="13" s="1" a="1"/>
  <c r="F146" i="13" s="1"/>
  <c r="B145" i="13" a="1"/>
  <c r="B145" i="13" s="1"/>
  <c r="H38" i="20" a="1"/>
  <c r="H38" i="20" s="1"/>
  <c r="G38" i="20" a="1"/>
  <c r="G38" i="20" s="1"/>
  <c r="C38" i="20" a="1"/>
  <c r="C38" i="20" s="1"/>
  <c r="A38" i="20" a="1"/>
  <c r="A38" i="20" s="1"/>
  <c r="B38" i="20" a="1"/>
  <c r="B38" i="20" s="1"/>
  <c r="D38" i="20" a="1"/>
  <c r="D38" i="20" s="1"/>
  <c r="F38" i="20" a="1"/>
  <c r="F38" i="20" s="1"/>
  <c r="I38" i="20" a="1"/>
  <c r="I38" i="20" s="1"/>
  <c r="K38" i="20" a="1"/>
  <c r="K38" i="20" s="1"/>
  <c r="J38" i="20" a="1"/>
  <c r="J38" i="20" s="1"/>
  <c r="M38" i="20" a="1"/>
  <c r="M38" i="20" s="1"/>
  <c r="L38" i="20" a="1"/>
  <c r="L38" i="20" s="1"/>
  <c r="E39" i="20" a="1"/>
  <c r="E39" i="20" s="1"/>
  <c r="A147" i="13" l="1" a="1"/>
  <c r="A147" i="13" s="1"/>
  <c r="A148" i="13" s="1" a="1"/>
  <c r="A148" i="13" s="1"/>
  <c r="B146" i="13" a="1"/>
  <c r="B146" i="13" s="1"/>
  <c r="G146" i="13" a="1"/>
  <c r="G146" i="13" s="1"/>
  <c r="H146" i="13" a="1"/>
  <c r="H146" i="13" s="1"/>
  <c r="H39" i="20" a="1"/>
  <c r="H39" i="20" s="1"/>
  <c r="A39" i="20" a="1"/>
  <c r="A39" i="20" s="1"/>
  <c r="G39" i="20" a="1"/>
  <c r="G39" i="20" s="1"/>
  <c r="B39" i="20" a="1"/>
  <c r="B39" i="20" s="1"/>
  <c r="F39" i="20" a="1"/>
  <c r="F39" i="20" s="1"/>
  <c r="D39" i="20" a="1"/>
  <c r="D39" i="20" s="1"/>
  <c r="C39" i="20" a="1"/>
  <c r="C39" i="20" s="1"/>
  <c r="I39" i="20" a="1"/>
  <c r="I39" i="20" s="1"/>
  <c r="K39" i="20" a="1"/>
  <c r="K39" i="20" s="1"/>
  <c r="J39" i="20" a="1"/>
  <c r="J39" i="20" s="1"/>
  <c r="M39" i="20" a="1"/>
  <c r="M39" i="20" s="1"/>
  <c r="L39" i="20" a="1"/>
  <c r="L39" i="20" s="1"/>
  <c r="E40" i="20" a="1"/>
  <c r="E40" i="20" s="1"/>
  <c r="B147" i="13" l="1" a="1"/>
  <c r="B147" i="13" s="1"/>
  <c r="G147" i="13" a="1"/>
  <c r="G147" i="13" s="1"/>
  <c r="H147" i="13" a="1"/>
  <c r="H147" i="13" s="1"/>
  <c r="F147" i="13" a="1"/>
  <c r="F147" i="13" s="1"/>
  <c r="B148" i="13" a="1"/>
  <c r="B148" i="13" s="1"/>
  <c r="F148" i="13" a="1"/>
  <c r="F148" i="13" s="1"/>
  <c r="G148" i="13" a="1"/>
  <c r="G148" i="13" s="1"/>
  <c r="G40" i="20" a="1"/>
  <c r="G40" i="20" s="1"/>
  <c r="B40" i="20" a="1"/>
  <c r="B40" i="20" s="1"/>
  <c r="F40" i="20" a="1"/>
  <c r="F40" i="20" s="1"/>
  <c r="H40" i="20" a="1"/>
  <c r="H40" i="20" s="1"/>
  <c r="D40" i="20" a="1"/>
  <c r="D40" i="20" s="1"/>
  <c r="C40" i="20" a="1"/>
  <c r="C40" i="20" s="1"/>
  <c r="A40" i="20" a="1"/>
  <c r="A40" i="20" s="1"/>
  <c r="I40" i="20" a="1"/>
  <c r="I40" i="20" s="1"/>
  <c r="J40" i="20" a="1"/>
  <c r="J40" i="20" s="1"/>
  <c r="K40" i="20" a="1"/>
  <c r="K40" i="20" s="1"/>
  <c r="M40" i="20" a="1"/>
  <c r="M40" i="20" s="1"/>
  <c r="L40" i="20" a="1"/>
  <c r="L40" i="20" s="1"/>
  <c r="E41" i="20" a="1"/>
  <c r="E41" i="20" s="1"/>
  <c r="A149" i="13" a="1"/>
  <c r="A149" i="13" s="1"/>
  <c r="H148" i="13" a="1"/>
  <c r="H148" i="13" s="1"/>
  <c r="F149" i="13" l="1" a="1"/>
  <c r="F149" i="13" s="1"/>
  <c r="G149" i="13" a="1"/>
  <c r="G149" i="13" s="1"/>
  <c r="H41" i="20" a="1"/>
  <c r="H41" i="20" s="1"/>
  <c r="A41" i="20" a="1"/>
  <c r="A41" i="20" s="1"/>
  <c r="C41" i="20" a="1"/>
  <c r="C41" i="20" s="1"/>
  <c r="F41" i="20" a="1"/>
  <c r="F41" i="20" s="1"/>
  <c r="B41" i="20" a="1"/>
  <c r="B41" i="20" s="1"/>
  <c r="G41" i="20" a="1"/>
  <c r="G41" i="20" s="1"/>
  <c r="D41" i="20" a="1"/>
  <c r="D41" i="20" s="1"/>
  <c r="I41" i="20" a="1"/>
  <c r="I41" i="20" s="1"/>
  <c r="K41" i="20" a="1"/>
  <c r="K41" i="20" s="1"/>
  <c r="J41" i="20" a="1"/>
  <c r="J41" i="20" s="1"/>
  <c r="M41" i="20" a="1"/>
  <c r="M41" i="20" s="1"/>
  <c r="L41" i="20" a="1"/>
  <c r="L41" i="20" s="1"/>
  <c r="E42" i="20" a="1"/>
  <c r="E42" i="20" s="1"/>
  <c r="A150" i="13" a="1"/>
  <c r="A150" i="13" s="1"/>
  <c r="H149" i="13" a="1"/>
  <c r="H149" i="13" s="1"/>
  <c r="B149" i="13" a="1"/>
  <c r="B149" i="13" s="1"/>
  <c r="B150" i="13" l="1" a="1"/>
  <c r="B150" i="13" s="1"/>
  <c r="F150" i="13" a="1"/>
  <c r="F150" i="13" s="1"/>
  <c r="G150" i="13" a="1"/>
  <c r="G150" i="13" s="1"/>
  <c r="H42" i="20" a="1"/>
  <c r="H42" i="20" s="1"/>
  <c r="A42" i="20" a="1"/>
  <c r="A42" i="20" s="1"/>
  <c r="C42" i="20" a="1"/>
  <c r="C42" i="20" s="1"/>
  <c r="F42" i="20" a="1"/>
  <c r="F42" i="20" s="1"/>
  <c r="B42" i="20" a="1"/>
  <c r="B42" i="20" s="1"/>
  <c r="D42" i="20" a="1"/>
  <c r="D42" i="20" s="1"/>
  <c r="G42" i="20" a="1"/>
  <c r="G42" i="20" s="1"/>
  <c r="I42" i="20" a="1"/>
  <c r="I42" i="20" s="1"/>
  <c r="K42" i="20" a="1"/>
  <c r="K42" i="20" s="1"/>
  <c r="J42" i="20" a="1"/>
  <c r="J42" i="20" s="1"/>
  <c r="M42" i="20" a="1"/>
  <c r="M42" i="20" s="1"/>
  <c r="L42" i="20" a="1"/>
  <c r="L42" i="20" s="1"/>
  <c r="E43" i="20" a="1"/>
  <c r="E43" i="20" s="1"/>
  <c r="A151" i="13" a="1"/>
  <c r="A151" i="13" s="1"/>
  <c r="H150" i="13" a="1"/>
  <c r="H150" i="13" s="1"/>
  <c r="F151" i="13" l="1" a="1"/>
  <c r="F151" i="13" s="1"/>
  <c r="G151" i="13" a="1"/>
  <c r="G151" i="13" s="1"/>
  <c r="H43" i="20" a="1"/>
  <c r="H43" i="20" s="1"/>
  <c r="B43" i="20" a="1"/>
  <c r="B43" i="20" s="1"/>
  <c r="G43" i="20" a="1"/>
  <c r="G43" i="20" s="1"/>
  <c r="C43" i="20" a="1"/>
  <c r="C43" i="20" s="1"/>
  <c r="F43" i="20" a="1"/>
  <c r="F43" i="20" s="1"/>
  <c r="A43" i="20" a="1"/>
  <c r="A43" i="20" s="1"/>
  <c r="D43" i="20" a="1"/>
  <c r="D43" i="20" s="1"/>
  <c r="I43" i="20" a="1"/>
  <c r="I43" i="20" s="1"/>
  <c r="J43" i="20" a="1"/>
  <c r="J43" i="20" s="1"/>
  <c r="K43" i="20" a="1"/>
  <c r="K43" i="20" s="1"/>
  <c r="M43" i="20" a="1"/>
  <c r="M43" i="20" s="1"/>
  <c r="L43" i="20" a="1"/>
  <c r="L43" i="20" s="1"/>
  <c r="E44" i="20" a="1"/>
  <c r="E44" i="20" s="1"/>
  <c r="A152" i="13" a="1"/>
  <c r="A152" i="13" s="1"/>
  <c r="H151" i="13" a="1"/>
  <c r="H151" i="13" s="1"/>
  <c r="B151" i="13" a="1"/>
  <c r="B151" i="13" s="1"/>
  <c r="B152" i="13" l="1" a="1"/>
  <c r="B152" i="13" s="1"/>
  <c r="F152" i="13" a="1"/>
  <c r="F152" i="13" s="1"/>
  <c r="G152" i="13" a="1"/>
  <c r="G152" i="13" s="1"/>
  <c r="H44" i="20" a="1"/>
  <c r="H44" i="20" s="1"/>
  <c r="A44" i="20" a="1"/>
  <c r="A44" i="20" s="1"/>
  <c r="G44" i="20" a="1"/>
  <c r="G44" i="20" s="1"/>
  <c r="B44" i="20" a="1"/>
  <c r="B44" i="20" s="1"/>
  <c r="F44" i="20" a="1"/>
  <c r="F44" i="20" s="1"/>
  <c r="C44" i="20" a="1"/>
  <c r="C44" i="20" s="1"/>
  <c r="D44" i="20" a="1"/>
  <c r="D44" i="20" s="1"/>
  <c r="I44" i="20" a="1"/>
  <c r="I44" i="20" s="1"/>
  <c r="J44" i="20" a="1"/>
  <c r="J44" i="20" s="1"/>
  <c r="K44" i="20" a="1"/>
  <c r="K44" i="20" s="1"/>
  <c r="M44" i="20" a="1"/>
  <c r="M44" i="20" s="1"/>
  <c r="L44" i="20" a="1"/>
  <c r="L44" i="20" s="1"/>
  <c r="E45" i="20" a="1"/>
  <c r="E45" i="20" s="1"/>
  <c r="A153" i="13" a="1"/>
  <c r="A153" i="13" s="1"/>
  <c r="H152" i="13" a="1"/>
  <c r="H152" i="13" s="1"/>
  <c r="B153" i="13" l="1" a="1"/>
  <c r="B153" i="13" s="1"/>
  <c r="F153" i="13" a="1"/>
  <c r="F153" i="13" s="1"/>
  <c r="G153" i="13" a="1"/>
  <c r="G153" i="13" s="1"/>
  <c r="H45" i="20" a="1"/>
  <c r="H45" i="20" s="1"/>
  <c r="F45" i="20" a="1"/>
  <c r="F45" i="20" s="1"/>
  <c r="C45" i="20" a="1"/>
  <c r="C45" i="20" s="1"/>
  <c r="A45" i="20" a="1"/>
  <c r="A45" i="20" s="1"/>
  <c r="B45" i="20" a="1"/>
  <c r="B45" i="20" s="1"/>
  <c r="G45" i="20" a="1"/>
  <c r="G45" i="20" s="1"/>
  <c r="D45" i="20" a="1"/>
  <c r="D45" i="20" s="1"/>
  <c r="I45" i="20" a="1"/>
  <c r="I45" i="20" s="1"/>
  <c r="K45" i="20" a="1"/>
  <c r="K45" i="20" s="1"/>
  <c r="J45" i="20" a="1"/>
  <c r="J45" i="20" s="1"/>
  <c r="M45" i="20" a="1"/>
  <c r="M45" i="20" s="1"/>
  <c r="L45" i="20" a="1"/>
  <c r="L45" i="20" s="1"/>
  <c r="E46" i="20" a="1"/>
  <c r="E46" i="20" s="1"/>
  <c r="A154" i="13" a="1"/>
  <c r="A154" i="13" s="1"/>
  <c r="H153" i="13" a="1"/>
  <c r="H153" i="13" s="1"/>
  <c r="B154" i="13" l="1" a="1"/>
  <c r="B154" i="13" s="1"/>
  <c r="F154" i="13" a="1"/>
  <c r="F154" i="13" s="1"/>
  <c r="G154" i="13" a="1"/>
  <c r="G154" i="13" s="1"/>
  <c r="H46" i="20" a="1"/>
  <c r="H46" i="20" s="1"/>
  <c r="D46" i="20" a="1"/>
  <c r="D46" i="20" s="1"/>
  <c r="C46" i="20" a="1"/>
  <c r="C46" i="20" s="1"/>
  <c r="F46" i="20" a="1"/>
  <c r="F46" i="20" s="1"/>
  <c r="B46" i="20" a="1"/>
  <c r="B46" i="20" s="1"/>
  <c r="A46" i="20" a="1"/>
  <c r="A46" i="20" s="1"/>
  <c r="G46" i="20" a="1"/>
  <c r="G46" i="20" s="1"/>
  <c r="I46" i="20" a="1"/>
  <c r="I46" i="20" s="1"/>
  <c r="J46" i="20" a="1"/>
  <c r="J46" i="20" s="1"/>
  <c r="K46" i="20" a="1"/>
  <c r="K46" i="20" s="1"/>
  <c r="M46" i="20" a="1"/>
  <c r="M46" i="20" s="1"/>
  <c r="L46" i="20" a="1"/>
  <c r="L46" i="20" s="1"/>
  <c r="E47" i="20" a="1"/>
  <c r="E47" i="20" s="1"/>
  <c r="H154" i="13" a="1"/>
  <c r="H154" i="13" s="1"/>
  <c r="A155" i="13" a="1"/>
  <c r="A155" i="13" s="1"/>
  <c r="B155" i="13" l="1" a="1"/>
  <c r="B155" i="13" s="1"/>
  <c r="F155" i="13" a="1"/>
  <c r="F155" i="13" s="1"/>
  <c r="G155" i="13" a="1"/>
  <c r="G155" i="13" s="1"/>
  <c r="H47" i="20" a="1"/>
  <c r="H47" i="20" s="1"/>
  <c r="C47" i="20" a="1"/>
  <c r="C47" i="20" s="1"/>
  <c r="G47" i="20" a="1"/>
  <c r="G47" i="20" s="1"/>
  <c r="A47" i="20" a="1"/>
  <c r="A47" i="20" s="1"/>
  <c r="F47" i="20" a="1"/>
  <c r="F47" i="20" s="1"/>
  <c r="B47" i="20" a="1"/>
  <c r="B47" i="20" s="1"/>
  <c r="D47" i="20" a="1"/>
  <c r="D47" i="20" s="1"/>
  <c r="I47" i="20" a="1"/>
  <c r="I47" i="20" s="1"/>
  <c r="K47" i="20" a="1"/>
  <c r="K47" i="20" s="1"/>
  <c r="J47" i="20" a="1"/>
  <c r="J47" i="20" s="1"/>
  <c r="M47" i="20" a="1"/>
  <c r="M47" i="20" s="1"/>
  <c r="L47" i="20" a="1"/>
  <c r="L47" i="20" s="1"/>
  <c r="E48" i="20" a="1"/>
  <c r="E48" i="20" s="1"/>
  <c r="A156" i="13" a="1"/>
  <c r="A156" i="13" s="1"/>
  <c r="H155" i="13" a="1"/>
  <c r="H155" i="13" s="1"/>
  <c r="F156" i="13" l="1" a="1"/>
  <c r="F156" i="13" s="1"/>
  <c r="G156" i="13" a="1"/>
  <c r="G156" i="13" s="1"/>
  <c r="H48" i="20" a="1"/>
  <c r="H48" i="20" s="1"/>
  <c r="B48" i="20" a="1"/>
  <c r="B48" i="20" s="1"/>
  <c r="G48" i="20" a="1"/>
  <c r="G48" i="20" s="1"/>
  <c r="C48" i="20" a="1"/>
  <c r="C48" i="20" s="1"/>
  <c r="F48" i="20" a="1"/>
  <c r="F48" i="20" s="1"/>
  <c r="A48" i="20" a="1"/>
  <c r="A48" i="20" s="1"/>
  <c r="D48" i="20" a="1"/>
  <c r="D48" i="20" s="1"/>
  <c r="I48" i="20" a="1"/>
  <c r="I48" i="20" s="1"/>
  <c r="K48" i="20" a="1"/>
  <c r="K48" i="20" s="1"/>
  <c r="J48" i="20" a="1"/>
  <c r="J48" i="20" s="1"/>
  <c r="M48" i="20" a="1"/>
  <c r="M48" i="20" s="1"/>
  <c r="L48" i="20" a="1"/>
  <c r="L48" i="20" s="1"/>
  <c r="E49" i="20" a="1"/>
  <c r="E49" i="20" s="1"/>
  <c r="A157" i="13" a="1"/>
  <c r="A157" i="13" s="1"/>
  <c r="H156" i="13" a="1"/>
  <c r="H156" i="13" s="1"/>
  <c r="B156" i="13" a="1"/>
  <c r="B156" i="13" s="1"/>
  <c r="F157" i="13" l="1" a="1"/>
  <c r="F157" i="13" s="1"/>
  <c r="G157" i="13" a="1"/>
  <c r="G157" i="13" s="1"/>
  <c r="H49" i="20" a="1"/>
  <c r="H49" i="20" s="1"/>
  <c r="G49" i="20" a="1"/>
  <c r="G49" i="20" s="1"/>
  <c r="C49" i="20" a="1"/>
  <c r="C49" i="20" s="1"/>
  <c r="D49" i="20" a="1"/>
  <c r="D49" i="20" s="1"/>
  <c r="B49" i="20" a="1"/>
  <c r="B49" i="20" s="1"/>
  <c r="A49" i="20" a="1"/>
  <c r="A49" i="20" s="1"/>
  <c r="F49" i="20" a="1"/>
  <c r="F49" i="20" s="1"/>
  <c r="I49" i="20" a="1"/>
  <c r="I49" i="20" s="1"/>
  <c r="J49" i="20" a="1"/>
  <c r="J49" i="20" s="1"/>
  <c r="K49" i="20" a="1"/>
  <c r="K49" i="20" s="1"/>
  <c r="M49" i="20" a="1"/>
  <c r="M49" i="20" s="1"/>
  <c r="L49" i="20" a="1"/>
  <c r="L49" i="20" s="1"/>
  <c r="E50" i="20" a="1"/>
  <c r="E50" i="20" s="1"/>
  <c r="H157" i="13" a="1"/>
  <c r="H157" i="13" s="1"/>
  <c r="B157" i="13" a="1"/>
  <c r="B157" i="13" s="1"/>
  <c r="A158" i="13" a="1"/>
  <c r="A158" i="13" s="1"/>
  <c r="F158" i="13" l="1" a="1"/>
  <c r="F158" i="13" s="1"/>
  <c r="G158" i="13" a="1"/>
  <c r="G158" i="13" s="1"/>
  <c r="H50" i="20" a="1"/>
  <c r="H50" i="20" s="1"/>
  <c r="A50" i="20" a="1"/>
  <c r="A50" i="20" s="1"/>
  <c r="C50" i="20" a="1"/>
  <c r="C50" i="20" s="1"/>
  <c r="F50" i="20" a="1"/>
  <c r="F50" i="20" s="1"/>
  <c r="B50" i="20" a="1"/>
  <c r="B50" i="20" s="1"/>
  <c r="G50" i="20" a="1"/>
  <c r="G50" i="20" s="1"/>
  <c r="D50" i="20" a="1"/>
  <c r="D50" i="20" s="1"/>
  <c r="I50" i="20" a="1"/>
  <c r="I50" i="20" s="1"/>
  <c r="J50" i="20" a="1"/>
  <c r="J50" i="20" s="1"/>
  <c r="K50" i="20" a="1"/>
  <c r="K50" i="20" s="1"/>
  <c r="M50" i="20" a="1"/>
  <c r="M50" i="20" s="1"/>
  <c r="L50" i="20" a="1"/>
  <c r="L50" i="20" s="1"/>
  <c r="E51" i="20" a="1"/>
  <c r="E51" i="20" s="1"/>
  <c r="A159" i="13" a="1"/>
  <c r="A159" i="13" s="1"/>
  <c r="B158" i="13" a="1"/>
  <c r="B158" i="13" s="1"/>
  <c r="H158" i="13" a="1"/>
  <c r="H158" i="13" s="1"/>
  <c r="F159" i="13" l="1" a="1"/>
  <c r="F159" i="13" s="1"/>
  <c r="G159" i="13" a="1"/>
  <c r="G159" i="13" s="1"/>
  <c r="G51" i="20" a="1"/>
  <c r="G51" i="20" s="1"/>
  <c r="B51" i="20" a="1"/>
  <c r="B51" i="20" s="1"/>
  <c r="F51" i="20" a="1"/>
  <c r="F51" i="20" s="1"/>
  <c r="A51" i="20" a="1"/>
  <c r="A51" i="20" s="1"/>
  <c r="D51" i="20" a="1"/>
  <c r="D51" i="20" s="1"/>
  <c r="C51" i="20" a="1"/>
  <c r="C51" i="20" s="1"/>
  <c r="H51" i="20" a="1"/>
  <c r="H51" i="20" s="1"/>
  <c r="I51" i="20" a="1"/>
  <c r="I51" i="20" s="1"/>
  <c r="J51" i="20" a="1"/>
  <c r="J51" i="20" s="1"/>
  <c r="K51" i="20" a="1"/>
  <c r="K51" i="20" s="1"/>
  <c r="M51" i="20" a="1"/>
  <c r="M51" i="20" s="1"/>
  <c r="L51" i="20" a="1"/>
  <c r="L51" i="20" s="1"/>
  <c r="E52" i="20" a="1"/>
  <c r="E52" i="20" s="1"/>
  <c r="A160" i="13" a="1"/>
  <c r="A160" i="13" s="1"/>
  <c r="H159" i="13" a="1"/>
  <c r="H159" i="13" s="1"/>
  <c r="B159" i="13" a="1"/>
  <c r="B159" i="13" s="1"/>
  <c r="B160" i="13" l="1" a="1"/>
  <c r="B160" i="13" s="1"/>
  <c r="F160" i="13" a="1"/>
  <c r="F160" i="13" s="1"/>
  <c r="G160" i="13" a="1"/>
  <c r="G160" i="13" s="1"/>
  <c r="H52" i="20" a="1"/>
  <c r="H52" i="20" s="1"/>
  <c r="C52" i="20" a="1"/>
  <c r="C52" i="20" s="1"/>
  <c r="G52" i="20" a="1"/>
  <c r="G52" i="20" s="1"/>
  <c r="B52" i="20" a="1"/>
  <c r="B52" i="20" s="1"/>
  <c r="F52" i="20" a="1"/>
  <c r="F52" i="20" s="1"/>
  <c r="A52" i="20" a="1"/>
  <c r="A52" i="20" s="1"/>
  <c r="D52" i="20" a="1"/>
  <c r="D52" i="20" s="1"/>
  <c r="I52" i="20" a="1"/>
  <c r="I52" i="20" s="1"/>
  <c r="K52" i="20" a="1"/>
  <c r="K52" i="20" s="1"/>
  <c r="J52" i="20" a="1"/>
  <c r="J52" i="20" s="1"/>
  <c r="M52" i="20" a="1"/>
  <c r="M52" i="20" s="1"/>
  <c r="L52" i="20" a="1"/>
  <c r="L52" i="20" s="1"/>
  <c r="E53" i="20" a="1"/>
  <c r="E53" i="20" s="1"/>
  <c r="A161" i="13" a="1"/>
  <c r="A161" i="13" s="1"/>
  <c r="H160" i="13" a="1"/>
  <c r="H160" i="13" s="1"/>
  <c r="F161" i="13" l="1" a="1"/>
  <c r="F161" i="13" s="1"/>
  <c r="G161" i="13" a="1"/>
  <c r="G161" i="13" s="1"/>
  <c r="H53" i="20" a="1"/>
  <c r="H53" i="20" s="1"/>
  <c r="F53" i="20" a="1"/>
  <c r="F53" i="20" s="1"/>
  <c r="C53" i="20" a="1"/>
  <c r="C53" i="20" s="1"/>
  <c r="A53" i="20" a="1"/>
  <c r="A53" i="20" s="1"/>
  <c r="B53" i="20" a="1"/>
  <c r="B53" i="20" s="1"/>
  <c r="D53" i="20" a="1"/>
  <c r="D53" i="20" s="1"/>
  <c r="G53" i="20" a="1"/>
  <c r="G53" i="20" s="1"/>
  <c r="I53" i="20" a="1"/>
  <c r="I53" i="20" s="1"/>
  <c r="J53" i="20" a="1"/>
  <c r="J53" i="20" s="1"/>
  <c r="K53" i="20" a="1"/>
  <c r="K53" i="20" s="1"/>
  <c r="M53" i="20" a="1"/>
  <c r="M53" i="20" s="1"/>
  <c r="L53" i="20" a="1"/>
  <c r="L53" i="20" s="1"/>
  <c r="E54" i="20" a="1"/>
  <c r="E54" i="20" s="1"/>
  <c r="A162" i="13" a="1"/>
  <c r="A162" i="13" s="1"/>
  <c r="H161" i="13" a="1"/>
  <c r="H161" i="13" s="1"/>
  <c r="B161" i="13" a="1"/>
  <c r="B161" i="13" s="1"/>
  <c r="B162" i="13" l="1" a="1"/>
  <c r="B162" i="13" s="1"/>
  <c r="F162" i="13" a="1"/>
  <c r="F162" i="13" s="1"/>
  <c r="G162" i="13" a="1"/>
  <c r="G162" i="13" s="1"/>
  <c r="H54" i="20" a="1"/>
  <c r="H54" i="20" s="1"/>
  <c r="G54" i="20" a="1"/>
  <c r="G54" i="20" s="1"/>
  <c r="C54" i="20" a="1"/>
  <c r="C54" i="20" s="1"/>
  <c r="A54" i="20" a="1"/>
  <c r="A54" i="20" s="1"/>
  <c r="B54" i="20" a="1"/>
  <c r="B54" i="20" s="1"/>
  <c r="D54" i="20" a="1"/>
  <c r="D54" i="20" s="1"/>
  <c r="F54" i="20" a="1"/>
  <c r="F54" i="20" s="1"/>
  <c r="I54" i="20" a="1"/>
  <c r="I54" i="20" s="1"/>
  <c r="J54" i="20" a="1"/>
  <c r="J54" i="20" s="1"/>
  <c r="K54" i="20" a="1"/>
  <c r="K54" i="20" s="1"/>
  <c r="M54" i="20" a="1"/>
  <c r="M54" i="20" s="1"/>
  <c r="L54" i="20" a="1"/>
  <c r="L54" i="20" s="1"/>
  <c r="E55" i="20" a="1"/>
  <c r="E55" i="20" s="1"/>
  <c r="H162" i="13" a="1"/>
  <c r="H162" i="13" s="1"/>
  <c r="A163" i="13" a="1"/>
  <c r="A163" i="13" s="1"/>
  <c r="B163" i="13" l="1" a="1"/>
  <c r="B163" i="13" s="1"/>
  <c r="F163" i="13" a="1"/>
  <c r="F163" i="13" s="1"/>
  <c r="G163" i="13" a="1"/>
  <c r="G163" i="13" s="1"/>
  <c r="H55" i="20" a="1"/>
  <c r="H55" i="20" s="1"/>
  <c r="A55" i="20" a="1"/>
  <c r="A55" i="20" s="1"/>
  <c r="G55" i="20" a="1"/>
  <c r="G55" i="20" s="1"/>
  <c r="B55" i="20" a="1"/>
  <c r="B55" i="20" s="1"/>
  <c r="F55" i="20" a="1"/>
  <c r="F55" i="20" s="1"/>
  <c r="C55" i="20" a="1"/>
  <c r="C55" i="20" s="1"/>
  <c r="D55" i="20" a="1"/>
  <c r="D55" i="20" s="1"/>
  <c r="I55" i="20" a="1"/>
  <c r="I55" i="20" s="1"/>
  <c r="J55" i="20" a="1"/>
  <c r="J55" i="20" s="1"/>
  <c r="K55" i="20" a="1"/>
  <c r="K55" i="20" s="1"/>
  <c r="M55" i="20" a="1"/>
  <c r="M55" i="20" s="1"/>
  <c r="L55" i="20" a="1"/>
  <c r="L55" i="20" s="1"/>
  <c r="E56" i="20" a="1"/>
  <c r="E56" i="20" s="1"/>
  <c r="A164" i="13" a="1"/>
  <c r="A164" i="13" s="1"/>
  <c r="H163" i="13" a="1"/>
  <c r="H163" i="13" s="1"/>
  <c r="B164" i="13" l="1" a="1"/>
  <c r="B164" i="13" s="1"/>
  <c r="F164" i="13" a="1"/>
  <c r="F164" i="13" s="1"/>
  <c r="G164" i="13" a="1"/>
  <c r="G164" i="13" s="1"/>
  <c r="H56" i="20" a="1"/>
  <c r="H56" i="20" s="1"/>
  <c r="C56" i="20" a="1"/>
  <c r="C56" i="20" s="1"/>
  <c r="G56" i="20" a="1"/>
  <c r="G56" i="20" s="1"/>
  <c r="A56" i="20" a="1"/>
  <c r="A56" i="20" s="1"/>
  <c r="F56" i="20" a="1"/>
  <c r="F56" i="20" s="1"/>
  <c r="B56" i="20" a="1"/>
  <c r="B56" i="20" s="1"/>
  <c r="D56" i="20" a="1"/>
  <c r="D56" i="20" s="1"/>
  <c r="I56" i="20" a="1"/>
  <c r="I56" i="20" s="1"/>
  <c r="K56" i="20" a="1"/>
  <c r="K56" i="20" s="1"/>
  <c r="J56" i="20" a="1"/>
  <c r="J56" i="20" s="1"/>
  <c r="L56" i="20" a="1"/>
  <c r="L56" i="20" s="1"/>
  <c r="M56" i="20" a="1"/>
  <c r="M56" i="20" s="1"/>
  <c r="E57" i="20" a="1"/>
  <c r="E57" i="20" s="1"/>
  <c r="A165" i="13" a="1"/>
  <c r="A165" i="13" s="1"/>
  <c r="H164" i="13" a="1"/>
  <c r="H164" i="13" s="1"/>
  <c r="B165" i="13" l="1" a="1"/>
  <c r="B165" i="13" s="1"/>
  <c r="F165" i="13" a="1"/>
  <c r="F165" i="13" s="1"/>
  <c r="G165" i="13" a="1"/>
  <c r="G165" i="13" s="1"/>
  <c r="H57" i="20" a="1"/>
  <c r="H57" i="20" s="1"/>
  <c r="D57" i="20" a="1"/>
  <c r="D57" i="20" s="1"/>
  <c r="C57" i="20" a="1"/>
  <c r="C57" i="20" s="1"/>
  <c r="F57" i="20" a="1"/>
  <c r="F57" i="20" s="1"/>
  <c r="B57" i="20" a="1"/>
  <c r="B57" i="20" s="1"/>
  <c r="G57" i="20" a="1"/>
  <c r="G57" i="20" s="1"/>
  <c r="A57" i="20" a="1"/>
  <c r="A57" i="20" s="1"/>
  <c r="I57" i="20" a="1"/>
  <c r="I57" i="20" s="1"/>
  <c r="J57" i="20" a="1"/>
  <c r="J57" i="20" s="1"/>
  <c r="K57" i="20" a="1"/>
  <c r="K57" i="20" s="1"/>
  <c r="M57" i="20" a="1"/>
  <c r="M57" i="20" s="1"/>
  <c r="L57" i="20" a="1"/>
  <c r="L57" i="20" s="1"/>
  <c r="E58" i="20" a="1"/>
  <c r="E58" i="20" s="1"/>
  <c r="A166" i="13" a="1"/>
  <c r="A166" i="13" s="1"/>
  <c r="H165" i="13" a="1"/>
  <c r="H165" i="13" s="1"/>
  <c r="F166" i="13" l="1" a="1"/>
  <c r="F166" i="13" s="1"/>
  <c r="G166" i="13" a="1"/>
  <c r="G166" i="13" s="1"/>
  <c r="H58" i="20" a="1"/>
  <c r="H58" i="20" s="1"/>
  <c r="A58" i="20" a="1"/>
  <c r="A58" i="20" s="1"/>
  <c r="C58" i="20" a="1"/>
  <c r="C58" i="20" s="1"/>
  <c r="D58" i="20" a="1"/>
  <c r="D58" i="20" s="1"/>
  <c r="B58" i="20" a="1"/>
  <c r="B58" i="20" s="1"/>
  <c r="F58" i="20" a="1"/>
  <c r="F58" i="20" s="1"/>
  <c r="G58" i="20" a="1"/>
  <c r="G58" i="20" s="1"/>
  <c r="I58" i="20" a="1"/>
  <c r="I58" i="20" s="1"/>
  <c r="K58" i="20" a="1"/>
  <c r="K58" i="20" s="1"/>
  <c r="J58" i="20" a="1"/>
  <c r="J58" i="20" s="1"/>
  <c r="M58" i="20" a="1"/>
  <c r="M58" i="20" s="1"/>
  <c r="L58" i="20" a="1"/>
  <c r="L58" i="20" s="1"/>
  <c r="E59" i="20" a="1"/>
  <c r="E59" i="20" s="1"/>
  <c r="A167" i="13" a="1"/>
  <c r="A167" i="13" s="1"/>
  <c r="H166" i="13" a="1"/>
  <c r="H166" i="13" s="1"/>
  <c r="B166" i="13" a="1"/>
  <c r="B166" i="13" s="1"/>
  <c r="B167" i="13" l="1" a="1"/>
  <c r="B167" i="13" s="1"/>
  <c r="F167" i="13" a="1"/>
  <c r="F167" i="13" s="1"/>
  <c r="G167" i="13" a="1"/>
  <c r="G167" i="13" s="1"/>
  <c r="H59" i="20" a="1"/>
  <c r="H59" i="20" s="1"/>
  <c r="B59" i="20" a="1"/>
  <c r="B59" i="20" s="1"/>
  <c r="G59" i="20" a="1"/>
  <c r="G59" i="20" s="1"/>
  <c r="C59" i="20" a="1"/>
  <c r="C59" i="20" s="1"/>
  <c r="F59" i="20" a="1"/>
  <c r="F59" i="20" s="1"/>
  <c r="A59" i="20" a="1"/>
  <c r="A59" i="20" s="1"/>
  <c r="D59" i="20" a="1"/>
  <c r="D59" i="20" s="1"/>
  <c r="I59" i="20" a="1"/>
  <c r="I59" i="20" s="1"/>
  <c r="J59" i="20" a="1"/>
  <c r="J59" i="20" s="1"/>
  <c r="K59" i="20" a="1"/>
  <c r="K59" i="20" s="1"/>
  <c r="M59" i="20" a="1"/>
  <c r="M59" i="20" s="1"/>
  <c r="L59" i="20" a="1"/>
  <c r="L59" i="20" s="1"/>
  <c r="E60" i="20" a="1"/>
  <c r="E60" i="20" s="1"/>
  <c r="A168" i="13" a="1"/>
  <c r="A168" i="13" s="1"/>
  <c r="H167" i="13" a="1"/>
  <c r="H167" i="13" s="1"/>
  <c r="B168" i="13" l="1" a="1"/>
  <c r="B168" i="13" s="1"/>
  <c r="F168" i="13" a="1"/>
  <c r="F168" i="13" s="1"/>
  <c r="G168" i="13" a="1"/>
  <c r="G168" i="13" s="1"/>
  <c r="H60" i="20" a="1"/>
  <c r="H60" i="20" s="1"/>
  <c r="B60" i="20" a="1"/>
  <c r="B60" i="20" s="1"/>
  <c r="G60" i="20" a="1"/>
  <c r="G60" i="20" s="1"/>
  <c r="C60" i="20" a="1"/>
  <c r="C60" i="20" s="1"/>
  <c r="F60" i="20" a="1"/>
  <c r="F60" i="20" s="1"/>
  <c r="A60" i="20" a="1"/>
  <c r="A60" i="20" s="1"/>
  <c r="D60" i="20" a="1"/>
  <c r="D60" i="20" s="1"/>
  <c r="I60" i="20" a="1"/>
  <c r="I60" i="20" s="1"/>
  <c r="J60" i="20" a="1"/>
  <c r="J60" i="20" s="1"/>
  <c r="K60" i="20" a="1"/>
  <c r="K60" i="20" s="1"/>
  <c r="M60" i="20" a="1"/>
  <c r="M60" i="20" s="1"/>
  <c r="L60" i="20" a="1"/>
  <c r="L60" i="20" s="1"/>
  <c r="E61" i="20" a="1"/>
  <c r="E61" i="20" s="1"/>
  <c r="A169" i="13" a="1"/>
  <c r="A169" i="13" s="1"/>
  <c r="H168" i="13" a="1"/>
  <c r="H168" i="13" s="1"/>
  <c r="F169" i="13" l="1" a="1"/>
  <c r="F169" i="13" s="1"/>
  <c r="G169" i="13" a="1"/>
  <c r="G169" i="13" s="1"/>
  <c r="H61" i="20" a="1"/>
  <c r="H61" i="20" s="1"/>
  <c r="F61" i="20" a="1"/>
  <c r="F61" i="20" s="1"/>
  <c r="C61" i="20" a="1"/>
  <c r="C61" i="20" s="1"/>
  <c r="A61" i="20" a="1"/>
  <c r="A61" i="20" s="1"/>
  <c r="B61" i="20" a="1"/>
  <c r="B61" i="20" s="1"/>
  <c r="G61" i="20" a="1"/>
  <c r="G61" i="20" s="1"/>
  <c r="D61" i="20" a="1"/>
  <c r="D61" i="20" s="1"/>
  <c r="I61" i="20" a="1"/>
  <c r="I61" i="20" s="1"/>
  <c r="J61" i="20" a="1"/>
  <c r="J61" i="20" s="1"/>
  <c r="K61" i="20" a="1"/>
  <c r="K61" i="20" s="1"/>
  <c r="M61" i="20" a="1"/>
  <c r="M61" i="20" s="1"/>
  <c r="L61" i="20" a="1"/>
  <c r="L61" i="20" s="1"/>
  <c r="E62" i="20" a="1"/>
  <c r="E62" i="20" s="1"/>
  <c r="A170" i="13" a="1"/>
  <c r="A170" i="13" s="1"/>
  <c r="H169" i="13" a="1"/>
  <c r="H169" i="13" s="1"/>
  <c r="B169" i="13" a="1"/>
  <c r="B169" i="13" s="1"/>
  <c r="F170" i="13" l="1" a="1"/>
  <c r="F170" i="13" s="1"/>
  <c r="G170" i="13" a="1"/>
  <c r="G170" i="13" s="1"/>
  <c r="H62" i="20" a="1"/>
  <c r="H62" i="20" s="1"/>
  <c r="F62" i="20" a="1"/>
  <c r="F62" i="20" s="1"/>
  <c r="C62" i="20" a="1"/>
  <c r="C62" i="20" s="1"/>
  <c r="A62" i="20" a="1"/>
  <c r="A62" i="20" s="1"/>
  <c r="B62" i="20" a="1"/>
  <c r="B62" i="20" s="1"/>
  <c r="G62" i="20" a="1"/>
  <c r="G62" i="20" s="1"/>
  <c r="D62" i="20" a="1"/>
  <c r="D62" i="20" s="1"/>
  <c r="I62" i="20" a="1"/>
  <c r="I62" i="20" s="1"/>
  <c r="K62" i="20" a="1"/>
  <c r="K62" i="20" s="1"/>
  <c r="J62" i="20" a="1"/>
  <c r="J62" i="20" s="1"/>
  <c r="M62" i="20" a="1"/>
  <c r="M62" i="20" s="1"/>
  <c r="L62" i="20" a="1"/>
  <c r="L62" i="20" s="1"/>
  <c r="E63" i="20" a="1"/>
  <c r="E63" i="20" s="1"/>
  <c r="H170" i="13" a="1"/>
  <c r="H170" i="13" s="1"/>
  <c r="B170" i="13" a="1"/>
  <c r="B170" i="13" s="1"/>
  <c r="A171" i="13" a="1"/>
  <c r="A171" i="13" s="1"/>
  <c r="B171" i="13" l="1" a="1"/>
  <c r="B171" i="13" s="1"/>
  <c r="F171" i="13" a="1"/>
  <c r="F171" i="13" s="1"/>
  <c r="G171" i="13" a="1"/>
  <c r="G171" i="13" s="1"/>
  <c r="H63" i="20" a="1"/>
  <c r="H63" i="20" s="1"/>
  <c r="C63" i="20" a="1"/>
  <c r="C63" i="20" s="1"/>
  <c r="G63" i="20" a="1"/>
  <c r="G63" i="20" s="1"/>
  <c r="A63" i="20" a="1"/>
  <c r="A63" i="20" s="1"/>
  <c r="F63" i="20" a="1"/>
  <c r="F63" i="20" s="1"/>
  <c r="B63" i="20" a="1"/>
  <c r="B63" i="20" s="1"/>
  <c r="D63" i="20" a="1"/>
  <c r="D63" i="20" s="1"/>
  <c r="I63" i="20" a="1"/>
  <c r="I63" i="20" s="1"/>
  <c r="J63" i="20" a="1"/>
  <c r="J63" i="20" s="1"/>
  <c r="K63" i="20" a="1"/>
  <c r="K63" i="20" s="1"/>
  <c r="M63" i="20" a="1"/>
  <c r="M63" i="20" s="1"/>
  <c r="L63" i="20" a="1"/>
  <c r="L63" i="20" s="1"/>
  <c r="E64" i="20" a="1"/>
  <c r="E64" i="20" s="1"/>
  <c r="A172" i="13" a="1"/>
  <c r="A172" i="13" s="1"/>
  <c r="H171" i="13" a="1"/>
  <c r="H171" i="13" s="1"/>
  <c r="F172" i="13" l="1" a="1"/>
  <c r="F172" i="13" s="1"/>
  <c r="G172" i="13" a="1"/>
  <c r="G172" i="13" s="1"/>
  <c r="H64" i="20" a="1"/>
  <c r="H64" i="20" s="1"/>
  <c r="B64" i="20" a="1"/>
  <c r="B64" i="20" s="1"/>
  <c r="G64" i="20" a="1"/>
  <c r="G64" i="20" s="1"/>
  <c r="C64" i="20" a="1"/>
  <c r="C64" i="20" s="1"/>
  <c r="F64" i="20" a="1"/>
  <c r="F64" i="20" s="1"/>
  <c r="A64" i="20" a="1"/>
  <c r="A64" i="20" s="1"/>
  <c r="D64" i="20" a="1"/>
  <c r="D64" i="20" s="1"/>
  <c r="I64" i="20" a="1"/>
  <c r="I64" i="20" s="1"/>
  <c r="K64" i="20" a="1"/>
  <c r="K64" i="20" s="1"/>
  <c r="J64" i="20" a="1"/>
  <c r="J64" i="20" s="1"/>
  <c r="M64" i="20" a="1"/>
  <c r="M64" i="20" s="1"/>
  <c r="L64" i="20" a="1"/>
  <c r="L64" i="20" s="1"/>
  <c r="E65" i="20" a="1"/>
  <c r="E65" i="20" s="1"/>
  <c r="A173" i="13" a="1"/>
  <c r="A173" i="13" s="1"/>
  <c r="H172" i="13" a="1"/>
  <c r="H172" i="13" s="1"/>
  <c r="B172" i="13" a="1"/>
  <c r="B172" i="13" s="1"/>
  <c r="F173" i="13" l="1" a="1"/>
  <c r="F173" i="13" s="1"/>
  <c r="G173" i="13" a="1"/>
  <c r="G173" i="13" s="1"/>
  <c r="H65" i="20" a="1"/>
  <c r="H65" i="20" s="1"/>
  <c r="A65" i="20" a="1"/>
  <c r="A65" i="20" s="1"/>
  <c r="C65" i="20" a="1"/>
  <c r="C65" i="20" s="1"/>
  <c r="G65" i="20" a="1"/>
  <c r="G65" i="20" s="1"/>
  <c r="B65" i="20" a="1"/>
  <c r="B65" i="20" s="1"/>
  <c r="D65" i="20" a="1"/>
  <c r="D65" i="20" s="1"/>
  <c r="F65" i="20" a="1"/>
  <c r="F65" i="20" s="1"/>
  <c r="I65" i="20" a="1"/>
  <c r="I65" i="20" s="1"/>
  <c r="J65" i="20" a="1"/>
  <c r="J65" i="20" s="1"/>
  <c r="K65" i="20" a="1"/>
  <c r="K65" i="20" s="1"/>
  <c r="M65" i="20" a="1"/>
  <c r="M65" i="20" s="1"/>
  <c r="L65" i="20" a="1"/>
  <c r="L65" i="20" s="1"/>
  <c r="E66" i="20" a="1"/>
  <c r="E66" i="20" s="1"/>
  <c r="A174" i="13" a="1"/>
  <c r="A174" i="13" s="1"/>
  <c r="H173" i="13" a="1"/>
  <c r="H173" i="13" s="1"/>
  <c r="B173" i="13" a="1"/>
  <c r="B173" i="13" s="1"/>
  <c r="F174" i="13" l="1" a="1"/>
  <c r="F174" i="13" s="1"/>
  <c r="G174" i="13" a="1"/>
  <c r="G174" i="13" s="1"/>
  <c r="H66" i="20" a="1"/>
  <c r="H66" i="20" s="1"/>
  <c r="A66" i="20" a="1"/>
  <c r="A66" i="20" s="1"/>
  <c r="C66" i="20" a="1"/>
  <c r="C66" i="20" s="1"/>
  <c r="F66" i="20" a="1"/>
  <c r="F66" i="20" s="1"/>
  <c r="B66" i="20" a="1"/>
  <c r="B66" i="20" s="1"/>
  <c r="G66" i="20" a="1"/>
  <c r="G66" i="20" s="1"/>
  <c r="D66" i="20" a="1"/>
  <c r="D66" i="20" s="1"/>
  <c r="I66" i="20" a="1"/>
  <c r="I66" i="20" s="1"/>
  <c r="J66" i="20" a="1"/>
  <c r="J66" i="20" s="1"/>
  <c r="K66" i="20" a="1"/>
  <c r="K66" i="20" s="1"/>
  <c r="M66" i="20" a="1"/>
  <c r="M66" i="20" s="1"/>
  <c r="L66" i="20" a="1"/>
  <c r="L66" i="20" s="1"/>
  <c r="E67" i="20" a="1"/>
  <c r="E67" i="20" s="1"/>
  <c r="H174" i="13" a="1"/>
  <c r="H174" i="13" s="1"/>
  <c r="B174" i="13" a="1"/>
  <c r="B174" i="13" s="1"/>
  <c r="A175" i="13" a="1"/>
  <c r="A175" i="13" s="1"/>
  <c r="B175" i="13" l="1" a="1"/>
  <c r="B175" i="13" s="1"/>
  <c r="F175" i="13" a="1"/>
  <c r="F175" i="13" s="1"/>
  <c r="G175" i="13" a="1"/>
  <c r="G175" i="13" s="1"/>
  <c r="H67" i="20" a="1"/>
  <c r="H67" i="20" s="1"/>
  <c r="B67" i="20" a="1"/>
  <c r="B67" i="20" s="1"/>
  <c r="G67" i="20" a="1"/>
  <c r="G67" i="20" s="1"/>
  <c r="A67" i="20" a="1"/>
  <c r="A67" i="20" s="1"/>
  <c r="F67" i="20" a="1"/>
  <c r="F67" i="20" s="1"/>
  <c r="C67" i="20" a="1"/>
  <c r="C67" i="20" s="1"/>
  <c r="D67" i="20" a="1"/>
  <c r="D67" i="20" s="1"/>
  <c r="I67" i="20" a="1"/>
  <c r="I67" i="20" s="1"/>
  <c r="J67" i="20" a="1"/>
  <c r="J67" i="20" s="1"/>
  <c r="K67" i="20" a="1"/>
  <c r="K67" i="20" s="1"/>
  <c r="M67" i="20" a="1"/>
  <c r="M67" i="20" s="1"/>
  <c r="L67" i="20" a="1"/>
  <c r="L67" i="20" s="1"/>
  <c r="E68" i="20" a="1"/>
  <c r="E68" i="20" s="1"/>
  <c r="A176" i="13" a="1"/>
  <c r="A176" i="13" s="1"/>
  <c r="H175" i="13" a="1"/>
  <c r="H175" i="13" s="1"/>
  <c r="F176" i="13" l="1" a="1"/>
  <c r="F176" i="13" s="1"/>
  <c r="G176" i="13" a="1"/>
  <c r="G176" i="13" s="1"/>
  <c r="H68" i="20" a="1"/>
  <c r="H68" i="20" s="1"/>
  <c r="C68" i="20" a="1"/>
  <c r="C68" i="20" s="1"/>
  <c r="G68" i="20" a="1"/>
  <c r="G68" i="20" s="1"/>
  <c r="B68" i="20" a="1"/>
  <c r="B68" i="20" s="1"/>
  <c r="F68" i="20" a="1"/>
  <c r="F68" i="20" s="1"/>
  <c r="A68" i="20" a="1"/>
  <c r="A68" i="20" s="1"/>
  <c r="D68" i="20" a="1"/>
  <c r="D68" i="20" s="1"/>
  <c r="I68" i="20" a="1"/>
  <c r="I68" i="20" s="1"/>
  <c r="K68" i="20" a="1"/>
  <c r="K68" i="20" s="1"/>
  <c r="J68" i="20" a="1"/>
  <c r="J68" i="20" s="1"/>
  <c r="M68" i="20" a="1"/>
  <c r="M68" i="20" s="1"/>
  <c r="L68" i="20" a="1"/>
  <c r="L68" i="20" s="1"/>
  <c r="E69" i="20" a="1"/>
  <c r="E69" i="20" s="1"/>
  <c r="A177" i="13" a="1"/>
  <c r="A177" i="13" s="1"/>
  <c r="H176" i="13" a="1"/>
  <c r="H176" i="13" s="1"/>
  <c r="B176" i="13" a="1"/>
  <c r="B176" i="13" s="1"/>
  <c r="F177" i="13" l="1" a="1"/>
  <c r="F177" i="13" s="1"/>
  <c r="G177" i="13" a="1"/>
  <c r="G177" i="13" s="1"/>
  <c r="H69" i="20" a="1"/>
  <c r="H69" i="20" s="1"/>
  <c r="A69" i="20" a="1"/>
  <c r="A69" i="20" s="1"/>
  <c r="C69" i="20" a="1"/>
  <c r="C69" i="20" s="1"/>
  <c r="D69" i="20" a="1"/>
  <c r="D69" i="20" s="1"/>
  <c r="B69" i="20" a="1"/>
  <c r="B69" i="20" s="1"/>
  <c r="F69" i="20" a="1"/>
  <c r="F69" i="20" s="1"/>
  <c r="G69" i="20" a="1"/>
  <c r="G69" i="20" s="1"/>
  <c r="I69" i="20" a="1"/>
  <c r="I69" i="20" s="1"/>
  <c r="J69" i="20" a="1"/>
  <c r="J69" i="20" s="1"/>
  <c r="K69" i="20" a="1"/>
  <c r="K69" i="20" s="1"/>
  <c r="M69" i="20" a="1"/>
  <c r="M69" i="20" s="1"/>
  <c r="L69" i="20" a="1"/>
  <c r="L69" i="20" s="1"/>
  <c r="E70" i="20" a="1"/>
  <c r="E70" i="20" s="1"/>
  <c r="B177" i="13" a="1"/>
  <c r="B177" i="13" s="1"/>
  <c r="A178" i="13" a="1"/>
  <c r="A178" i="13" s="1"/>
  <c r="H177" i="13" a="1"/>
  <c r="H177" i="13" s="1"/>
  <c r="F178" i="13" l="1" a="1"/>
  <c r="F178" i="13" s="1"/>
  <c r="G178" i="13" a="1"/>
  <c r="G178" i="13" s="1"/>
  <c r="H70" i="20" a="1"/>
  <c r="H70" i="20" s="1"/>
  <c r="G70" i="20" a="1"/>
  <c r="G70" i="20" s="1"/>
  <c r="C70" i="20" a="1"/>
  <c r="C70" i="20" s="1"/>
  <c r="A70" i="20" a="1"/>
  <c r="A70" i="20" s="1"/>
  <c r="B70" i="20" a="1"/>
  <c r="B70" i="20" s="1"/>
  <c r="D70" i="20" a="1"/>
  <c r="D70" i="20" s="1"/>
  <c r="F70" i="20" a="1"/>
  <c r="F70" i="20" s="1"/>
  <c r="I70" i="20" a="1"/>
  <c r="I70" i="20" s="1"/>
  <c r="J70" i="20" a="1"/>
  <c r="J70" i="20" s="1"/>
  <c r="K70" i="20" a="1"/>
  <c r="K70" i="20" s="1"/>
  <c r="M70" i="20" a="1"/>
  <c r="M70" i="20" s="1"/>
  <c r="L70" i="20" a="1"/>
  <c r="L70" i="20" s="1"/>
  <c r="E71" i="20" a="1"/>
  <c r="E71" i="20" s="1"/>
  <c r="H178" i="13" a="1"/>
  <c r="H178" i="13" s="1"/>
  <c r="B178" i="13" a="1"/>
  <c r="B178" i="13" s="1"/>
  <c r="A179" i="13" a="1"/>
  <c r="A179" i="13" s="1"/>
  <c r="F179" i="13" l="1" a="1"/>
  <c r="F179" i="13" s="1"/>
  <c r="G179" i="13" a="1"/>
  <c r="G179" i="13" s="1"/>
  <c r="H71" i="20" a="1"/>
  <c r="H71" i="20" s="1"/>
  <c r="A71" i="20" a="1"/>
  <c r="A71" i="20" s="1"/>
  <c r="G71" i="20" a="1"/>
  <c r="G71" i="20" s="1"/>
  <c r="B71" i="20" a="1"/>
  <c r="B71" i="20" s="1"/>
  <c r="F71" i="20" a="1"/>
  <c r="F71" i="20" s="1"/>
  <c r="C71" i="20" a="1"/>
  <c r="C71" i="20" s="1"/>
  <c r="D71" i="20" a="1"/>
  <c r="D71" i="20" s="1"/>
  <c r="I71" i="20" a="1"/>
  <c r="I71" i="20" s="1"/>
  <c r="K71" i="20" a="1"/>
  <c r="K71" i="20" s="1"/>
  <c r="J71" i="20" a="1"/>
  <c r="J71" i="20" s="1"/>
  <c r="M71" i="20" a="1"/>
  <c r="M71" i="20" s="1"/>
  <c r="L71" i="20" a="1"/>
  <c r="L71" i="20" s="1"/>
  <c r="E72" i="20" a="1"/>
  <c r="E72" i="20" s="1"/>
  <c r="A180" i="13" a="1"/>
  <c r="A180" i="13" s="1"/>
  <c r="H179" i="13" a="1"/>
  <c r="H179" i="13" s="1"/>
  <c r="B179" i="13" a="1"/>
  <c r="B179" i="13" s="1"/>
  <c r="B180" i="13" l="1" a="1"/>
  <c r="B180" i="13" s="1"/>
  <c r="F180" i="13" a="1"/>
  <c r="F180" i="13" s="1"/>
  <c r="G180" i="13" a="1"/>
  <c r="G180" i="13" s="1"/>
  <c r="G72" i="20" a="1"/>
  <c r="G72" i="20" s="1"/>
  <c r="A72" i="20" a="1"/>
  <c r="A72" i="20" s="1"/>
  <c r="F72" i="20" a="1"/>
  <c r="F72" i="20" s="1"/>
  <c r="H72" i="20" a="1"/>
  <c r="H72" i="20" s="1"/>
  <c r="D72" i="20" a="1"/>
  <c r="D72" i="20" s="1"/>
  <c r="B72" i="20" a="1"/>
  <c r="B72" i="20" s="1"/>
  <c r="C72" i="20" a="1"/>
  <c r="C72" i="20" s="1"/>
  <c r="I72" i="20" a="1"/>
  <c r="I72" i="20" s="1"/>
  <c r="K72" i="20" a="1"/>
  <c r="K72" i="20" s="1"/>
  <c r="J72" i="20" a="1"/>
  <c r="J72" i="20" s="1"/>
  <c r="M72" i="20" a="1"/>
  <c r="M72" i="20" s="1"/>
  <c r="L72" i="20" a="1"/>
  <c r="L72" i="20" s="1"/>
  <c r="E73" i="20" a="1"/>
  <c r="E73" i="20" s="1"/>
  <c r="H180" i="13" a="1"/>
  <c r="H180" i="13" s="1"/>
  <c r="A181" i="13" a="1"/>
  <c r="A181" i="13" s="1"/>
  <c r="B181" i="13" l="1" a="1"/>
  <c r="B181" i="13" s="1"/>
  <c r="F181" i="13" a="1"/>
  <c r="F181" i="13" s="1"/>
  <c r="G181" i="13" a="1"/>
  <c r="G181" i="13" s="1"/>
  <c r="H73" i="20" a="1"/>
  <c r="H73" i="20" s="1"/>
  <c r="A73" i="20" a="1"/>
  <c r="A73" i="20" s="1"/>
  <c r="C73" i="20" a="1"/>
  <c r="C73" i="20" s="1"/>
  <c r="D73" i="20" a="1"/>
  <c r="D73" i="20" s="1"/>
  <c r="B73" i="20" a="1"/>
  <c r="B73" i="20" s="1"/>
  <c r="F73" i="20" a="1"/>
  <c r="F73" i="20" s="1"/>
  <c r="G73" i="20" a="1"/>
  <c r="G73" i="20" s="1"/>
  <c r="I73" i="20" a="1"/>
  <c r="I73" i="20" s="1"/>
  <c r="K73" i="20" a="1"/>
  <c r="K73" i="20" s="1"/>
  <c r="J73" i="20" a="1"/>
  <c r="J73" i="20" s="1"/>
  <c r="M73" i="20" a="1"/>
  <c r="M73" i="20" s="1"/>
  <c r="L73" i="20" a="1"/>
  <c r="L73" i="20" s="1"/>
  <c r="E74" i="20" a="1"/>
  <c r="E74" i="20" s="1"/>
  <c r="A182" i="13" a="1"/>
  <c r="A182" i="13" s="1"/>
  <c r="H181" i="13" a="1"/>
  <c r="H181" i="13" s="1"/>
  <c r="B182" i="13" l="1" a="1"/>
  <c r="B182" i="13" s="1"/>
  <c r="F182" i="13" a="1"/>
  <c r="F182" i="13" s="1"/>
  <c r="G182" i="13" a="1"/>
  <c r="G182" i="13" s="1"/>
  <c r="H74" i="20" a="1"/>
  <c r="H74" i="20" s="1"/>
  <c r="A74" i="20" a="1"/>
  <c r="A74" i="20" s="1"/>
  <c r="C74" i="20" a="1"/>
  <c r="C74" i="20" s="1"/>
  <c r="F74" i="20" a="1"/>
  <c r="F74" i="20" s="1"/>
  <c r="B74" i="20" a="1"/>
  <c r="B74" i="20" s="1"/>
  <c r="G74" i="20" a="1"/>
  <c r="G74" i="20" s="1"/>
  <c r="D74" i="20" a="1"/>
  <c r="D74" i="20" s="1"/>
  <c r="I74" i="20" a="1"/>
  <c r="I74" i="20" s="1"/>
  <c r="J74" i="20" a="1"/>
  <c r="J74" i="20" s="1"/>
  <c r="K74" i="20" a="1"/>
  <c r="K74" i="20" s="1"/>
  <c r="M74" i="20" a="1"/>
  <c r="M74" i="20" s="1"/>
  <c r="L74" i="20" a="1"/>
  <c r="L74" i="20" s="1"/>
  <c r="E75" i="20" a="1"/>
  <c r="E75" i="20" s="1"/>
  <c r="A183" i="13" a="1"/>
  <c r="A183" i="13" s="1"/>
  <c r="H182" i="13" a="1"/>
  <c r="H182" i="13" s="1"/>
  <c r="F183" i="13" l="1" a="1"/>
  <c r="F183" i="13" s="1"/>
  <c r="G183" i="13" a="1"/>
  <c r="G183" i="13" s="1"/>
  <c r="H75" i="20" a="1"/>
  <c r="H75" i="20" s="1"/>
  <c r="B75" i="20" a="1"/>
  <c r="B75" i="20" s="1"/>
  <c r="F75" i="20" a="1"/>
  <c r="F75" i="20" s="1"/>
  <c r="D75" i="20" a="1"/>
  <c r="D75" i="20" s="1"/>
  <c r="G75" i="20" a="1"/>
  <c r="G75" i="20" s="1"/>
  <c r="C75" i="20" a="1"/>
  <c r="C75" i="20" s="1"/>
  <c r="A75" i="20" a="1"/>
  <c r="A75" i="20" s="1"/>
  <c r="I75" i="20" a="1"/>
  <c r="I75" i="20" s="1"/>
  <c r="K75" i="20" a="1"/>
  <c r="K75" i="20" s="1"/>
  <c r="J75" i="20" a="1"/>
  <c r="J75" i="20" s="1"/>
  <c r="M75" i="20" a="1"/>
  <c r="M75" i="20" s="1"/>
  <c r="L75" i="20" a="1"/>
  <c r="L75" i="20" s="1"/>
  <c r="E76" i="20" a="1"/>
  <c r="E76" i="20" s="1"/>
  <c r="A184" i="13" a="1"/>
  <c r="A184" i="13" s="1"/>
  <c r="H183" i="13" a="1"/>
  <c r="H183" i="13" s="1"/>
  <c r="B183" i="13" a="1"/>
  <c r="B183" i="13" s="1"/>
  <c r="F184" i="13" l="1" a="1"/>
  <c r="F184" i="13" s="1"/>
  <c r="G184" i="13" a="1"/>
  <c r="G184" i="13" s="1"/>
  <c r="H76" i="20" a="1"/>
  <c r="H76" i="20" s="1"/>
  <c r="B76" i="20" a="1"/>
  <c r="B76" i="20" s="1"/>
  <c r="G76" i="20" a="1"/>
  <c r="G76" i="20" s="1"/>
  <c r="F76" i="20" a="1"/>
  <c r="F76" i="20" s="1"/>
  <c r="C76" i="20" a="1"/>
  <c r="C76" i="20" s="1"/>
  <c r="A76" i="20" a="1"/>
  <c r="A76" i="20" s="1"/>
  <c r="D76" i="20" a="1"/>
  <c r="D76" i="20" s="1"/>
  <c r="I76" i="20" a="1"/>
  <c r="I76" i="20" s="1"/>
  <c r="J76" i="20" a="1"/>
  <c r="J76" i="20" s="1"/>
  <c r="K76" i="20" a="1"/>
  <c r="K76" i="20" s="1"/>
  <c r="L76" i="20" a="1"/>
  <c r="L76" i="20" s="1"/>
  <c r="M76" i="20" a="1"/>
  <c r="M76" i="20" s="1"/>
  <c r="E77" i="20" a="1"/>
  <c r="E77" i="20" s="1"/>
  <c r="B184" i="13" a="1"/>
  <c r="B184" i="13" s="1"/>
  <c r="A185" i="13" a="1"/>
  <c r="A185" i="13" s="1"/>
  <c r="H184" i="13" a="1"/>
  <c r="H184" i="13" s="1"/>
  <c r="B185" i="13" l="1" a="1"/>
  <c r="B185" i="13" s="1"/>
  <c r="F185" i="13" a="1"/>
  <c r="F185" i="13" s="1"/>
  <c r="G185" i="13" a="1"/>
  <c r="G185" i="13" s="1"/>
  <c r="H77" i="20" a="1"/>
  <c r="H77" i="20" s="1"/>
  <c r="F77" i="20" a="1"/>
  <c r="F77" i="20" s="1"/>
  <c r="C77" i="20" a="1"/>
  <c r="C77" i="20" s="1"/>
  <c r="A77" i="20" a="1"/>
  <c r="A77" i="20" s="1"/>
  <c r="B77" i="20" a="1"/>
  <c r="B77" i="20" s="1"/>
  <c r="G77" i="20" a="1"/>
  <c r="G77" i="20" s="1"/>
  <c r="D77" i="20" a="1"/>
  <c r="D77" i="20" s="1"/>
  <c r="I77" i="20" a="1"/>
  <c r="I77" i="20" s="1"/>
  <c r="J77" i="20" a="1"/>
  <c r="J77" i="20" s="1"/>
  <c r="K77" i="20" a="1"/>
  <c r="K77" i="20" s="1"/>
  <c r="M77" i="20" a="1"/>
  <c r="M77" i="20" s="1"/>
  <c r="L77" i="20" a="1"/>
  <c r="L77" i="20" s="1"/>
  <c r="E78" i="20" a="1"/>
  <c r="E78" i="20" s="1"/>
  <c r="A186" i="13" a="1"/>
  <c r="A186" i="13" s="1"/>
  <c r="H185" i="13" a="1"/>
  <c r="H185" i="13" s="1"/>
  <c r="B186" i="13" l="1" a="1"/>
  <c r="B186" i="13" s="1"/>
  <c r="F186" i="13" a="1"/>
  <c r="F186" i="13" s="1"/>
  <c r="G186" i="13" a="1"/>
  <c r="G186" i="13" s="1"/>
  <c r="H78" i="20" a="1"/>
  <c r="H78" i="20" s="1"/>
  <c r="F78" i="20" a="1"/>
  <c r="F78" i="20" s="1"/>
  <c r="C78" i="20" a="1"/>
  <c r="C78" i="20" s="1"/>
  <c r="A78" i="20" a="1"/>
  <c r="A78" i="20" s="1"/>
  <c r="B78" i="20" a="1"/>
  <c r="B78" i="20" s="1"/>
  <c r="G78" i="20" a="1"/>
  <c r="G78" i="20" s="1"/>
  <c r="D78" i="20" a="1"/>
  <c r="D78" i="20" s="1"/>
  <c r="I78" i="20" a="1"/>
  <c r="I78" i="20" s="1"/>
  <c r="J78" i="20" a="1"/>
  <c r="J78" i="20" s="1"/>
  <c r="K78" i="20" a="1"/>
  <c r="K78" i="20" s="1"/>
  <c r="M78" i="20" a="1"/>
  <c r="M78" i="20" s="1"/>
  <c r="L78" i="20" a="1"/>
  <c r="L78" i="20" s="1"/>
  <c r="E79" i="20" a="1"/>
  <c r="E79" i="20" s="1"/>
  <c r="A187" i="13" a="1"/>
  <c r="A187" i="13" s="1"/>
  <c r="H186" i="13" a="1"/>
  <c r="H186" i="13" s="1"/>
  <c r="F187" i="13" l="1" a="1"/>
  <c r="F187" i="13" s="1"/>
  <c r="G187" i="13" a="1"/>
  <c r="G187" i="13" s="1"/>
  <c r="H79" i="20" a="1"/>
  <c r="H79" i="20" s="1"/>
  <c r="C79" i="20" a="1"/>
  <c r="C79" i="20" s="1"/>
  <c r="G79" i="20" a="1"/>
  <c r="G79" i="20" s="1"/>
  <c r="A79" i="20" a="1"/>
  <c r="A79" i="20" s="1"/>
  <c r="F79" i="20" a="1"/>
  <c r="F79" i="20" s="1"/>
  <c r="B79" i="20" a="1"/>
  <c r="B79" i="20" s="1"/>
  <c r="D79" i="20" a="1"/>
  <c r="D79" i="20" s="1"/>
  <c r="I79" i="20" a="1"/>
  <c r="I79" i="20" s="1"/>
  <c r="J79" i="20" a="1"/>
  <c r="J79" i="20" s="1"/>
  <c r="K79" i="20" a="1"/>
  <c r="K79" i="20" s="1"/>
  <c r="M79" i="20" a="1"/>
  <c r="M79" i="20" s="1"/>
  <c r="L79" i="20" a="1"/>
  <c r="L79" i="20" s="1"/>
  <c r="E80" i="20" a="1"/>
  <c r="E80" i="20" s="1"/>
  <c r="A188" i="13" a="1"/>
  <c r="A188" i="13" s="1"/>
  <c r="H187" i="13" a="1"/>
  <c r="H187" i="13" s="1"/>
  <c r="B187" i="13" a="1"/>
  <c r="B187" i="13" s="1"/>
  <c r="F188" i="13" l="1" a="1"/>
  <c r="F188" i="13" s="1"/>
  <c r="G188" i="13" a="1"/>
  <c r="G188" i="13" s="1"/>
  <c r="H80" i="20" a="1"/>
  <c r="H80" i="20" s="1"/>
  <c r="B80" i="20" a="1"/>
  <c r="B80" i="20" s="1"/>
  <c r="G80" i="20" a="1"/>
  <c r="G80" i="20" s="1"/>
  <c r="C80" i="20" a="1"/>
  <c r="C80" i="20" s="1"/>
  <c r="F80" i="20" a="1"/>
  <c r="F80" i="20" s="1"/>
  <c r="A80" i="20" a="1"/>
  <c r="A80" i="20" s="1"/>
  <c r="D80" i="20" a="1"/>
  <c r="D80" i="20" s="1"/>
  <c r="I80" i="20" a="1"/>
  <c r="I80" i="20" s="1"/>
  <c r="J80" i="20" a="1"/>
  <c r="J80" i="20" s="1"/>
  <c r="K80" i="20" a="1"/>
  <c r="K80" i="20" s="1"/>
  <c r="M80" i="20" a="1"/>
  <c r="M80" i="20" s="1"/>
  <c r="L80" i="20" a="1"/>
  <c r="L80" i="20" s="1"/>
  <c r="E81" i="20" a="1"/>
  <c r="E81" i="20" s="1"/>
  <c r="H188" i="13" a="1"/>
  <c r="H188" i="13" s="1"/>
  <c r="B188" i="13" a="1"/>
  <c r="B188" i="13" s="1"/>
  <c r="A189" i="13" a="1"/>
  <c r="A189" i="13" s="1"/>
  <c r="B189" i="13" l="1" a="1"/>
  <c r="B189" i="13" s="1"/>
  <c r="F189" i="13" a="1"/>
  <c r="F189" i="13" s="1"/>
  <c r="G189" i="13" a="1"/>
  <c r="G189" i="13" s="1"/>
  <c r="H81" i="20" a="1"/>
  <c r="H81" i="20" s="1"/>
  <c r="G81" i="20" a="1"/>
  <c r="G81" i="20" s="1"/>
  <c r="C81" i="20" a="1"/>
  <c r="C81" i="20" s="1"/>
  <c r="D81" i="20" a="1"/>
  <c r="D81" i="20" s="1"/>
  <c r="B81" i="20" a="1"/>
  <c r="B81" i="20" s="1"/>
  <c r="A81" i="20" a="1"/>
  <c r="A81" i="20" s="1"/>
  <c r="F81" i="20" a="1"/>
  <c r="F81" i="20" s="1"/>
  <c r="I81" i="20" a="1"/>
  <c r="I81" i="20" s="1"/>
  <c r="K81" i="20" a="1"/>
  <c r="K81" i="20" s="1"/>
  <c r="J81" i="20" a="1"/>
  <c r="J81" i="20" s="1"/>
  <c r="M81" i="20" a="1"/>
  <c r="M81" i="20" s="1"/>
  <c r="L81" i="20" a="1"/>
  <c r="L81" i="20" s="1"/>
  <c r="E82" i="20" a="1"/>
  <c r="E82" i="20" s="1"/>
  <c r="A190" i="13" a="1"/>
  <c r="A190" i="13" s="1"/>
  <c r="H189" i="13" a="1"/>
  <c r="H189" i="13" s="1"/>
  <c r="B190" i="13" l="1" a="1"/>
  <c r="B190" i="13" s="1"/>
  <c r="F190" i="13" a="1"/>
  <c r="F190" i="13" s="1"/>
  <c r="G190" i="13" a="1"/>
  <c r="G190" i="13" s="1"/>
  <c r="H82" i="20" a="1"/>
  <c r="H82" i="20" s="1"/>
  <c r="A82" i="20" a="1"/>
  <c r="A82" i="20" s="1"/>
  <c r="C82" i="20" a="1"/>
  <c r="C82" i="20" s="1"/>
  <c r="F82" i="20" a="1"/>
  <c r="F82" i="20" s="1"/>
  <c r="B82" i="20" a="1"/>
  <c r="B82" i="20" s="1"/>
  <c r="G82" i="20" a="1"/>
  <c r="G82" i="20" s="1"/>
  <c r="D82" i="20" a="1"/>
  <c r="D82" i="20" s="1"/>
  <c r="I82" i="20" a="1"/>
  <c r="I82" i="20" s="1"/>
  <c r="J82" i="20" a="1"/>
  <c r="J82" i="20" s="1"/>
  <c r="K82" i="20" a="1"/>
  <c r="K82" i="20" s="1"/>
  <c r="M82" i="20" a="1"/>
  <c r="M82" i="20" s="1"/>
  <c r="L82" i="20" a="1"/>
  <c r="L82" i="20" s="1"/>
  <c r="E83" i="20" a="1"/>
  <c r="E83" i="20" s="1"/>
  <c r="A191" i="13" a="1"/>
  <c r="A191" i="13" s="1"/>
  <c r="H190" i="13" a="1"/>
  <c r="H190" i="13" s="1"/>
  <c r="B191" i="13" l="1" a="1"/>
  <c r="B191" i="13" s="1"/>
  <c r="F191" i="13" a="1"/>
  <c r="F191" i="13" s="1"/>
  <c r="G191" i="13" a="1"/>
  <c r="G191" i="13" s="1"/>
  <c r="G83" i="20" a="1"/>
  <c r="G83" i="20" s="1"/>
  <c r="B83" i="20" a="1"/>
  <c r="B83" i="20" s="1"/>
  <c r="F83" i="20" a="1"/>
  <c r="F83" i="20" s="1"/>
  <c r="A83" i="20" a="1"/>
  <c r="A83" i="20" s="1"/>
  <c r="D83" i="20" a="1"/>
  <c r="D83" i="20" s="1"/>
  <c r="H83" i="20" a="1"/>
  <c r="H83" i="20" s="1"/>
  <c r="C83" i="20" a="1"/>
  <c r="C83" i="20" s="1"/>
  <c r="I83" i="20" a="1"/>
  <c r="I83" i="20" s="1"/>
  <c r="K83" i="20" a="1"/>
  <c r="K83" i="20" s="1"/>
  <c r="J83" i="20" a="1"/>
  <c r="J83" i="20" s="1"/>
  <c r="M83" i="20" a="1"/>
  <c r="M83" i="20" s="1"/>
  <c r="L83" i="20" a="1"/>
  <c r="L83" i="20" s="1"/>
  <c r="E84" i="20" a="1"/>
  <c r="E84" i="20" s="1"/>
  <c r="A192" i="13" a="1"/>
  <c r="A192" i="13" s="1"/>
  <c r="H191" i="13" a="1"/>
  <c r="H191" i="13" s="1"/>
  <c r="F192" i="13" l="1" a="1"/>
  <c r="F192" i="13" s="1"/>
  <c r="G192" i="13" a="1"/>
  <c r="G192" i="13" s="1"/>
  <c r="H84" i="20" a="1"/>
  <c r="H84" i="20" s="1"/>
  <c r="C84" i="20" a="1"/>
  <c r="C84" i="20" s="1"/>
  <c r="G84" i="20" a="1"/>
  <c r="G84" i="20" s="1"/>
  <c r="A84" i="20" a="1"/>
  <c r="A84" i="20" s="1"/>
  <c r="F84" i="20" a="1"/>
  <c r="F84" i="20" s="1"/>
  <c r="B84" i="20" a="1"/>
  <c r="B84" i="20" s="1"/>
  <c r="D84" i="20" a="1"/>
  <c r="D84" i="20" s="1"/>
  <c r="I84" i="20" a="1"/>
  <c r="I84" i="20" s="1"/>
  <c r="K84" i="20" a="1"/>
  <c r="K84" i="20" s="1"/>
  <c r="J84" i="20" a="1"/>
  <c r="J84" i="20" s="1"/>
  <c r="M84" i="20" a="1"/>
  <c r="M84" i="20" s="1"/>
  <c r="L84" i="20" a="1"/>
  <c r="L84" i="20" s="1"/>
  <c r="E85" i="20" a="1"/>
  <c r="E85" i="20" s="1"/>
  <c r="A193" i="13" a="1"/>
  <c r="A193" i="13" s="1"/>
  <c r="H192" i="13" a="1"/>
  <c r="H192" i="13" s="1"/>
  <c r="B192" i="13" a="1"/>
  <c r="B192" i="13" s="1"/>
  <c r="H193" i="13" l="1" a="1"/>
  <c r="H193" i="13" s="1"/>
  <c r="F193" i="13" a="1"/>
  <c r="F193" i="13" s="1"/>
  <c r="G193" i="13" a="1"/>
  <c r="G193" i="13" s="1"/>
  <c r="H85" i="20" a="1"/>
  <c r="H85" i="20" s="1"/>
  <c r="F85" i="20" a="1"/>
  <c r="F85" i="20" s="1"/>
  <c r="C85" i="20" a="1"/>
  <c r="C85" i="20" s="1"/>
  <c r="A85" i="20" a="1"/>
  <c r="A85" i="20" s="1"/>
  <c r="B85" i="20" a="1"/>
  <c r="B85" i="20" s="1"/>
  <c r="D85" i="20" a="1"/>
  <c r="D85" i="20" s="1"/>
  <c r="G85" i="20" a="1"/>
  <c r="G85" i="20" s="1"/>
  <c r="I85" i="20" a="1"/>
  <c r="I85" i="20" s="1"/>
  <c r="K85" i="20" a="1"/>
  <c r="K85" i="20" s="1"/>
  <c r="J85" i="20" a="1"/>
  <c r="J85" i="20" s="1"/>
  <c r="M85" i="20" a="1"/>
  <c r="M85" i="20" s="1"/>
  <c r="L85" i="20" a="1"/>
  <c r="L85" i="20" s="1"/>
  <c r="E86" i="20" a="1"/>
  <c r="E86" i="20" s="1"/>
  <c r="B193" i="13" a="1"/>
  <c r="B193" i="13" s="1"/>
  <c r="A194" i="13" a="1"/>
  <c r="A194" i="13" s="1"/>
  <c r="B194" i="13" l="1" a="1"/>
  <c r="B194" i="13" s="1"/>
  <c r="F194" i="13" a="1"/>
  <c r="F194" i="13" s="1"/>
  <c r="G194" i="13" a="1"/>
  <c r="G194" i="13" s="1"/>
  <c r="H86" i="20" a="1"/>
  <c r="H86" i="20" s="1"/>
  <c r="G86" i="20" a="1"/>
  <c r="G86" i="20" s="1"/>
  <c r="C86" i="20" a="1"/>
  <c r="C86" i="20" s="1"/>
  <c r="A86" i="20" a="1"/>
  <c r="A86" i="20" s="1"/>
  <c r="B86" i="20" a="1"/>
  <c r="B86" i="20" s="1"/>
  <c r="D86" i="20" a="1"/>
  <c r="D86" i="20" s="1"/>
  <c r="F86" i="20" a="1"/>
  <c r="F86" i="20" s="1"/>
  <c r="I86" i="20" a="1"/>
  <c r="I86" i="20" s="1"/>
  <c r="J86" i="20" a="1"/>
  <c r="J86" i="20" s="1"/>
  <c r="K86" i="20" a="1"/>
  <c r="K86" i="20" s="1"/>
  <c r="M86" i="20" a="1"/>
  <c r="M86" i="20" s="1"/>
  <c r="L86" i="20" a="1"/>
  <c r="L86" i="20" s="1"/>
  <c r="E87" i="20" a="1"/>
  <c r="E87" i="20" s="1"/>
  <c r="A195" i="13" a="1"/>
  <c r="A195" i="13" s="1"/>
  <c r="H194" i="13" a="1"/>
  <c r="H194" i="13" s="1"/>
  <c r="B195" i="13" l="1" a="1"/>
  <c r="B195" i="13" s="1"/>
  <c r="F195" i="13" a="1"/>
  <c r="F195" i="13" s="1"/>
  <c r="G195" i="13" a="1"/>
  <c r="G195" i="13" s="1"/>
  <c r="H87" i="20" a="1"/>
  <c r="H87" i="20" s="1"/>
  <c r="A87" i="20" a="1"/>
  <c r="A87" i="20" s="1"/>
  <c r="G87" i="20" a="1"/>
  <c r="G87" i="20" s="1"/>
  <c r="B87" i="20" a="1"/>
  <c r="B87" i="20" s="1"/>
  <c r="F87" i="20" a="1"/>
  <c r="F87" i="20" s="1"/>
  <c r="C87" i="20" a="1"/>
  <c r="C87" i="20" s="1"/>
  <c r="D87" i="20" a="1"/>
  <c r="D87" i="20" s="1"/>
  <c r="I87" i="20" a="1"/>
  <c r="I87" i="20" s="1"/>
  <c r="K87" i="20" a="1"/>
  <c r="K87" i="20" s="1"/>
  <c r="J87" i="20" a="1"/>
  <c r="J87" i="20" s="1"/>
  <c r="M87" i="20" a="1"/>
  <c r="M87" i="20" s="1"/>
  <c r="L87" i="20" a="1"/>
  <c r="L87" i="20" s="1"/>
  <c r="E88" i="20" a="1"/>
  <c r="E88" i="20" s="1"/>
  <c r="A196" i="13" a="1"/>
  <c r="A196" i="13" s="1"/>
  <c r="H195" i="13" a="1"/>
  <c r="H195" i="13" s="1"/>
  <c r="F196" i="13" l="1" a="1"/>
  <c r="F196" i="13" s="1"/>
  <c r="G196" i="13" a="1"/>
  <c r="G196" i="13" s="1"/>
  <c r="H88" i="20" a="1"/>
  <c r="H88" i="20" s="1"/>
  <c r="A88" i="20" a="1"/>
  <c r="A88" i="20" s="1"/>
  <c r="G88" i="20" a="1"/>
  <c r="G88" i="20" s="1"/>
  <c r="B88" i="20" a="1"/>
  <c r="B88" i="20" s="1"/>
  <c r="F88" i="20" a="1"/>
  <c r="F88" i="20" s="1"/>
  <c r="C88" i="20" a="1"/>
  <c r="C88" i="20" s="1"/>
  <c r="D88" i="20" a="1"/>
  <c r="D88" i="20" s="1"/>
  <c r="I88" i="20" a="1"/>
  <c r="I88" i="20" s="1"/>
  <c r="J88" i="20" a="1"/>
  <c r="J88" i="20" s="1"/>
  <c r="K88" i="20" a="1"/>
  <c r="K88" i="20" s="1"/>
  <c r="L88" i="20" a="1"/>
  <c r="L88" i="20" s="1"/>
  <c r="M88" i="20" a="1"/>
  <c r="M88" i="20" s="1"/>
  <c r="E89" i="20" a="1"/>
  <c r="E89" i="20" s="1"/>
  <c r="A197" i="13" a="1"/>
  <c r="A197" i="13" s="1"/>
  <c r="H196" i="13" a="1"/>
  <c r="H196" i="13" s="1"/>
  <c r="B196" i="13" a="1"/>
  <c r="B196" i="13" s="1"/>
  <c r="F197" i="13" l="1" a="1"/>
  <c r="F197" i="13" s="1"/>
  <c r="G197" i="13" a="1"/>
  <c r="G197" i="13" s="1"/>
  <c r="H89" i="20" a="1"/>
  <c r="H89" i="20" s="1"/>
  <c r="F89" i="20" a="1"/>
  <c r="F89" i="20" s="1"/>
  <c r="C89" i="20" a="1"/>
  <c r="C89" i="20" s="1"/>
  <c r="G89" i="20" a="1"/>
  <c r="G89" i="20" s="1"/>
  <c r="B89" i="20" a="1"/>
  <c r="B89" i="20" s="1"/>
  <c r="A89" i="20" a="1"/>
  <c r="A89" i="20" s="1"/>
  <c r="D89" i="20" a="1"/>
  <c r="D89" i="20" s="1"/>
  <c r="I89" i="20" a="1"/>
  <c r="I89" i="20" s="1"/>
  <c r="J89" i="20" a="1"/>
  <c r="J89" i="20" s="1"/>
  <c r="K89" i="20" a="1"/>
  <c r="K89" i="20" s="1"/>
  <c r="L89" i="20" a="1"/>
  <c r="L89" i="20" s="1"/>
  <c r="M89" i="20" a="1"/>
  <c r="M89" i="20" s="1"/>
  <c r="E90" i="20" a="1"/>
  <c r="E90" i="20" s="1"/>
  <c r="H197" i="13" a="1"/>
  <c r="H197" i="13" s="1"/>
  <c r="B197" i="13" a="1"/>
  <c r="B197" i="13" s="1"/>
  <c r="A198" i="13" a="1"/>
  <c r="A198" i="13" s="1"/>
  <c r="B198" i="13" l="1" a="1"/>
  <c r="B198" i="13" s="1"/>
  <c r="F198" i="13" a="1"/>
  <c r="F198" i="13" s="1"/>
  <c r="G198" i="13" a="1"/>
  <c r="G198" i="13" s="1"/>
  <c r="H90" i="20" a="1"/>
  <c r="H90" i="20" s="1"/>
  <c r="A90" i="20" a="1"/>
  <c r="A90" i="20" s="1"/>
  <c r="C90" i="20" a="1"/>
  <c r="C90" i="20" s="1"/>
  <c r="D90" i="20" a="1"/>
  <c r="D90" i="20" s="1"/>
  <c r="B90" i="20" a="1"/>
  <c r="B90" i="20" s="1"/>
  <c r="F90" i="20" a="1"/>
  <c r="F90" i="20" s="1"/>
  <c r="G90" i="20" a="1"/>
  <c r="G90" i="20" s="1"/>
  <c r="I90" i="20" a="1"/>
  <c r="I90" i="20" s="1"/>
  <c r="J90" i="20" a="1"/>
  <c r="J90" i="20" s="1"/>
  <c r="K90" i="20" a="1"/>
  <c r="K90" i="20" s="1"/>
  <c r="M90" i="20" a="1"/>
  <c r="M90" i="20" s="1"/>
  <c r="L90" i="20" a="1"/>
  <c r="L90" i="20" s="1"/>
  <c r="E91" i="20" a="1"/>
  <c r="E91" i="20" s="1"/>
  <c r="A199" i="13" a="1"/>
  <c r="A199" i="13" s="1"/>
  <c r="H198" i="13" a="1"/>
  <c r="H198" i="13" s="1"/>
  <c r="F199" i="13" l="1" a="1"/>
  <c r="F199" i="13" s="1"/>
  <c r="G199" i="13" a="1"/>
  <c r="G199" i="13" s="1"/>
  <c r="H91" i="20" a="1"/>
  <c r="H91" i="20" s="1"/>
  <c r="B91" i="20" a="1"/>
  <c r="B91" i="20" s="1"/>
  <c r="G91" i="20" a="1"/>
  <c r="G91" i="20" s="1"/>
  <c r="C91" i="20" a="1"/>
  <c r="C91" i="20" s="1"/>
  <c r="F91" i="20" a="1"/>
  <c r="F91" i="20" s="1"/>
  <c r="A91" i="20" a="1"/>
  <c r="A91" i="20" s="1"/>
  <c r="D91" i="20" a="1"/>
  <c r="D91" i="20" s="1"/>
  <c r="I91" i="20" a="1"/>
  <c r="I91" i="20" s="1"/>
  <c r="K91" i="20" a="1"/>
  <c r="K91" i="20" s="1"/>
  <c r="J91" i="20" a="1"/>
  <c r="J91" i="20" s="1"/>
  <c r="M91" i="20" a="1"/>
  <c r="M91" i="20" s="1"/>
  <c r="L91" i="20" a="1"/>
  <c r="L91" i="20" s="1"/>
  <c r="E92" i="20" a="1"/>
  <c r="E92" i="20" s="1"/>
  <c r="A200" i="13" a="1"/>
  <c r="A200" i="13" s="1"/>
  <c r="H199" i="13" a="1"/>
  <c r="H199" i="13" s="1"/>
  <c r="B199" i="13" a="1"/>
  <c r="B199" i="13" s="1"/>
  <c r="F200" i="13" l="1" a="1"/>
  <c r="F200" i="13" s="1"/>
  <c r="G200" i="13" a="1"/>
  <c r="G200" i="13" s="1"/>
  <c r="H92" i="20" a="1"/>
  <c r="H92" i="20" s="1"/>
  <c r="A92" i="20" a="1"/>
  <c r="A92" i="20" s="1"/>
  <c r="G92" i="20" a="1"/>
  <c r="G92" i="20" s="1"/>
  <c r="B92" i="20" a="1"/>
  <c r="B92" i="20" s="1"/>
  <c r="F92" i="20" a="1"/>
  <c r="F92" i="20" s="1"/>
  <c r="C92" i="20" a="1"/>
  <c r="C92" i="20" s="1"/>
  <c r="D92" i="20" a="1"/>
  <c r="D92" i="20" s="1"/>
  <c r="I92" i="20" a="1"/>
  <c r="I92" i="20" s="1"/>
  <c r="K92" i="20" a="1"/>
  <c r="K92" i="20" s="1"/>
  <c r="J92" i="20" a="1"/>
  <c r="J92" i="20" s="1"/>
  <c r="M92" i="20" a="1"/>
  <c r="M92" i="20" s="1"/>
  <c r="L92" i="20" a="1"/>
  <c r="L92" i="20" s="1"/>
  <c r="E93" i="20" a="1"/>
  <c r="E93" i="20" s="1"/>
  <c r="H200" i="13" a="1"/>
  <c r="H200" i="13" s="1"/>
  <c r="B200" i="13" a="1"/>
  <c r="B200" i="13" s="1"/>
  <c r="A201" i="13" a="1"/>
  <c r="A201" i="13" s="1"/>
  <c r="B201" i="13" l="1" a="1"/>
  <c r="B201" i="13" s="1"/>
  <c r="F201" i="13" a="1"/>
  <c r="F201" i="13" s="1"/>
  <c r="G201" i="13" a="1"/>
  <c r="G201" i="13" s="1"/>
  <c r="H93" i="20" a="1"/>
  <c r="H93" i="20" s="1"/>
  <c r="F93" i="20" a="1"/>
  <c r="F93" i="20" s="1"/>
  <c r="C93" i="20" a="1"/>
  <c r="C93" i="20" s="1"/>
  <c r="A93" i="20" a="1"/>
  <c r="A93" i="20" s="1"/>
  <c r="B93" i="20" a="1"/>
  <c r="B93" i="20" s="1"/>
  <c r="G93" i="20" a="1"/>
  <c r="G93" i="20" s="1"/>
  <c r="D93" i="20" a="1"/>
  <c r="D93" i="20" s="1"/>
  <c r="I93" i="20" a="1"/>
  <c r="I93" i="20" s="1"/>
  <c r="K93" i="20" a="1"/>
  <c r="K93" i="20" s="1"/>
  <c r="J93" i="20" a="1"/>
  <c r="J93" i="20" s="1"/>
  <c r="M93" i="20" a="1"/>
  <c r="M93" i="20" s="1"/>
  <c r="L93" i="20" a="1"/>
  <c r="L93" i="20" s="1"/>
  <c r="E94" i="20" a="1"/>
  <c r="E94" i="20" s="1"/>
  <c r="A202" i="13" a="1"/>
  <c r="A202" i="13" s="1"/>
  <c r="H201" i="13" a="1"/>
  <c r="H201" i="13" s="1"/>
  <c r="B202" i="13" l="1" a="1"/>
  <c r="B202" i="13" s="1"/>
  <c r="F202" i="13" a="1"/>
  <c r="F202" i="13" s="1"/>
  <c r="G202" i="13" a="1"/>
  <c r="G202" i="13" s="1"/>
  <c r="H94" i="20" a="1"/>
  <c r="H94" i="20" s="1"/>
  <c r="D94" i="20" a="1"/>
  <c r="D94" i="20" s="1"/>
  <c r="C94" i="20" a="1"/>
  <c r="C94" i="20" s="1"/>
  <c r="F94" i="20" a="1"/>
  <c r="F94" i="20" s="1"/>
  <c r="B94" i="20" a="1"/>
  <c r="B94" i="20" s="1"/>
  <c r="G94" i="20" a="1"/>
  <c r="G94" i="20" s="1"/>
  <c r="A94" i="20" a="1"/>
  <c r="A94" i="20" s="1"/>
  <c r="I94" i="20" a="1"/>
  <c r="I94" i="20" s="1"/>
  <c r="J94" i="20" a="1"/>
  <c r="J94" i="20" s="1"/>
  <c r="K94" i="20" a="1"/>
  <c r="K94" i="20" s="1"/>
  <c r="M94" i="20" a="1"/>
  <c r="M94" i="20" s="1"/>
  <c r="L94" i="20" a="1"/>
  <c r="L94" i="20" s="1"/>
  <c r="E95" i="20" a="1"/>
  <c r="E95" i="20" s="1"/>
  <c r="A203" i="13" a="1"/>
  <c r="A203" i="13" s="1"/>
  <c r="H202" i="13" a="1"/>
  <c r="H202" i="13" s="1"/>
  <c r="B203" i="13" l="1" a="1"/>
  <c r="B203" i="13" s="1"/>
  <c r="F203" i="13" a="1"/>
  <c r="F203" i="13" s="1"/>
  <c r="G203" i="13" a="1"/>
  <c r="G203" i="13" s="1"/>
  <c r="H95" i="20" a="1"/>
  <c r="H95" i="20" s="1"/>
  <c r="C95" i="20" a="1"/>
  <c r="C95" i="20" s="1"/>
  <c r="F95" i="20" a="1"/>
  <c r="F95" i="20" s="1"/>
  <c r="D95" i="20" a="1"/>
  <c r="D95" i="20" s="1"/>
  <c r="G95" i="20" a="1"/>
  <c r="G95" i="20" s="1"/>
  <c r="A95" i="20" a="1"/>
  <c r="A95" i="20" s="1"/>
  <c r="B95" i="20" a="1"/>
  <c r="B95" i="20" s="1"/>
  <c r="I95" i="20" a="1"/>
  <c r="I95" i="20" s="1"/>
  <c r="J95" i="20" a="1"/>
  <c r="J95" i="20" s="1"/>
  <c r="K95" i="20" a="1"/>
  <c r="K95" i="20" s="1"/>
  <c r="M95" i="20" a="1"/>
  <c r="M95" i="20" s="1"/>
  <c r="L95" i="20" a="1"/>
  <c r="L95" i="20" s="1"/>
  <c r="E96" i="20" a="1"/>
  <c r="E96" i="20" s="1"/>
  <c r="A204" i="13" a="1"/>
  <c r="A204" i="13" s="1"/>
  <c r="H203" i="13" a="1"/>
  <c r="H203" i="13" s="1"/>
  <c r="B204" i="13" l="1" a="1"/>
  <c r="B204" i="13" s="1"/>
  <c r="F204" i="13" a="1"/>
  <c r="F204" i="13" s="1"/>
  <c r="G204" i="13" a="1"/>
  <c r="G204" i="13" s="1"/>
  <c r="H96" i="20" a="1"/>
  <c r="H96" i="20" s="1"/>
  <c r="B96" i="20" a="1"/>
  <c r="B96" i="20" s="1"/>
  <c r="G96" i="20" a="1"/>
  <c r="G96" i="20" s="1"/>
  <c r="C96" i="20" a="1"/>
  <c r="C96" i="20" s="1"/>
  <c r="F96" i="20" a="1"/>
  <c r="F96" i="20" s="1"/>
  <c r="A96" i="20" a="1"/>
  <c r="A96" i="20" s="1"/>
  <c r="D96" i="20" a="1"/>
  <c r="D96" i="20" s="1"/>
  <c r="I96" i="20" a="1"/>
  <c r="I96" i="20" s="1"/>
  <c r="J96" i="20" a="1"/>
  <c r="J96" i="20" s="1"/>
  <c r="K96" i="20" a="1"/>
  <c r="K96" i="20" s="1"/>
  <c r="M96" i="20" a="1"/>
  <c r="M96" i="20" s="1"/>
  <c r="L96" i="20" a="1"/>
  <c r="L96" i="20" s="1"/>
  <c r="E97" i="20" a="1"/>
  <c r="E97" i="20" s="1"/>
  <c r="A205" i="13" a="1"/>
  <c r="A205" i="13" s="1"/>
  <c r="H204" i="13" a="1"/>
  <c r="H204" i="13" s="1"/>
  <c r="B205" i="13" l="1" a="1"/>
  <c r="B205" i="13" s="1"/>
  <c r="F205" i="13" a="1"/>
  <c r="F205" i="13" s="1"/>
  <c r="G205" i="13" a="1"/>
  <c r="G205" i="13" s="1"/>
  <c r="L97" i="20" a="1"/>
  <c r="L97" i="20" s="1"/>
  <c r="J97" i="20" a="1"/>
  <c r="J97" i="20" s="1"/>
  <c r="F97" i="20" a="1"/>
  <c r="F97" i="20" s="1"/>
  <c r="K97" i="20" a="1"/>
  <c r="K97" i="20" s="1"/>
  <c r="C97" i="20" a="1"/>
  <c r="C97" i="20" s="1"/>
  <c r="G97" i="20" a="1"/>
  <c r="G97" i="20" s="1"/>
  <c r="I97" i="20" a="1"/>
  <c r="I97" i="20" s="1"/>
  <c r="D97" i="20" a="1"/>
  <c r="D97" i="20" s="1"/>
  <c r="H97" i="20" a="1"/>
  <c r="H97" i="20" s="1"/>
  <c r="M97" i="20" a="1"/>
  <c r="M97" i="20" s="1"/>
  <c r="A97" i="20" a="1"/>
  <c r="A97" i="20" s="1"/>
  <c r="B97" i="20" a="1"/>
  <c r="B97" i="20" s="1"/>
  <c r="E98" i="20" a="1"/>
  <c r="E98" i="20" s="1"/>
  <c r="A206" i="13" a="1"/>
  <c r="A206" i="13" s="1"/>
  <c r="H205" i="13" a="1"/>
  <c r="H205" i="13" s="1"/>
  <c r="B206" i="13" l="1" a="1"/>
  <c r="B206" i="13" s="1"/>
  <c r="F206" i="13" a="1"/>
  <c r="F206" i="13" s="1"/>
  <c r="G206" i="13" a="1"/>
  <c r="G206" i="13" s="1"/>
  <c r="M98" i="20" a="1"/>
  <c r="M98" i="20" s="1"/>
  <c r="I98" i="20" a="1"/>
  <c r="I98" i="20" s="1"/>
  <c r="D98" i="20" a="1"/>
  <c r="D98" i="20" s="1"/>
  <c r="L98" i="20" a="1"/>
  <c r="L98" i="20" s="1"/>
  <c r="H98" i="20" a="1"/>
  <c r="H98" i="20" s="1"/>
  <c r="A98" i="20" a="1"/>
  <c r="A98" i="20" s="1"/>
  <c r="J98" i="20" a="1"/>
  <c r="J98" i="20" s="1"/>
  <c r="C98" i="20" a="1"/>
  <c r="C98" i="20" s="1"/>
  <c r="F98" i="20" a="1"/>
  <c r="F98" i="20" s="1"/>
  <c r="K98" i="20" a="1"/>
  <c r="K98" i="20" s="1"/>
  <c r="B98" i="20" a="1"/>
  <c r="B98" i="20" s="1"/>
  <c r="G98" i="20" a="1"/>
  <c r="G98" i="20" s="1"/>
  <c r="E99" i="20" a="1"/>
  <c r="E99" i="20" s="1"/>
  <c r="A207" i="13" a="1"/>
  <c r="A207" i="13" s="1"/>
  <c r="H206" i="13" a="1"/>
  <c r="H206" i="13" s="1"/>
  <c r="B207" i="13" l="1" a="1"/>
  <c r="B207" i="13" s="1"/>
  <c r="F207" i="13" a="1"/>
  <c r="F207" i="13" s="1"/>
  <c r="G207" i="13" a="1"/>
  <c r="G207" i="13" s="1"/>
  <c r="M99" i="20" a="1"/>
  <c r="M99" i="20" s="1"/>
  <c r="I99" i="20" a="1"/>
  <c r="I99" i="20" s="1"/>
  <c r="D99" i="20" a="1"/>
  <c r="D99" i="20" s="1"/>
  <c r="K99" i="20" a="1"/>
  <c r="K99" i="20" s="1"/>
  <c r="H99" i="20" a="1"/>
  <c r="H99" i="20" s="1"/>
  <c r="B99" i="20" a="1"/>
  <c r="B99" i="20" s="1"/>
  <c r="L99" i="20" a="1"/>
  <c r="L99" i="20" s="1"/>
  <c r="G99" i="20" a="1"/>
  <c r="G99" i="20" s="1"/>
  <c r="A99" i="20" a="1"/>
  <c r="A99" i="20" s="1"/>
  <c r="J99" i="20" a="1"/>
  <c r="J99" i="20" s="1"/>
  <c r="F99" i="20" a="1"/>
  <c r="F99" i="20" s="1"/>
  <c r="C99" i="20" a="1"/>
  <c r="C99" i="20" s="1"/>
  <c r="E100" i="20" a="1"/>
  <c r="E100" i="20" s="1"/>
  <c r="A208" i="13" a="1"/>
  <c r="A208" i="13" s="1"/>
  <c r="H207" i="13" a="1"/>
  <c r="H207" i="13" s="1"/>
  <c r="F208" i="13" l="1" a="1"/>
  <c r="F208" i="13" s="1"/>
  <c r="G208" i="13" a="1"/>
  <c r="G208" i="13" s="1"/>
  <c r="L100" i="20" a="1"/>
  <c r="L100" i="20" s="1"/>
  <c r="I100" i="20" a="1"/>
  <c r="I100" i="20" s="1"/>
  <c r="D100" i="20" a="1"/>
  <c r="D100" i="20" s="1"/>
  <c r="M100" i="20" a="1"/>
  <c r="M100" i="20" s="1"/>
  <c r="H100" i="20" a="1"/>
  <c r="H100" i="20" s="1"/>
  <c r="C100" i="20" a="1"/>
  <c r="C100" i="20" s="1"/>
  <c r="G100" i="20" a="1"/>
  <c r="G100" i="20" s="1"/>
  <c r="B100" i="20" a="1"/>
  <c r="B100" i="20" s="1"/>
  <c r="J100" i="20" a="1"/>
  <c r="J100" i="20" s="1"/>
  <c r="F100" i="20" a="1"/>
  <c r="F100" i="20" s="1"/>
  <c r="K100" i="20" a="1"/>
  <c r="K100" i="20" s="1"/>
  <c r="A100" i="20" a="1"/>
  <c r="A100" i="20" s="1"/>
  <c r="E101" i="20" a="1"/>
  <c r="E101" i="20" s="1"/>
  <c r="H208" i="13" a="1"/>
  <c r="H208" i="13" s="1"/>
  <c r="B208" i="13" a="1"/>
  <c r="B208" i="13" s="1"/>
  <c r="A209" i="13" a="1"/>
  <c r="A209" i="13" s="1"/>
  <c r="B209" i="13" l="1" a="1"/>
  <c r="B209" i="13" s="1"/>
  <c r="F209" i="13" a="1"/>
  <c r="F209" i="13" s="1"/>
  <c r="G209" i="13" a="1"/>
  <c r="G209" i="13" s="1"/>
  <c r="M101" i="20" a="1"/>
  <c r="M101" i="20" s="1"/>
  <c r="J101" i="20" a="1"/>
  <c r="J101" i="20" s="1"/>
  <c r="G101" i="20" a="1"/>
  <c r="G101" i="20" s="1"/>
  <c r="L101" i="20" a="1"/>
  <c r="L101" i="20" s="1"/>
  <c r="K101" i="20" a="1"/>
  <c r="K101" i="20" s="1"/>
  <c r="A101" i="20" a="1"/>
  <c r="A101" i="20" s="1"/>
  <c r="I101" i="20" a="1"/>
  <c r="I101" i="20" s="1"/>
  <c r="D101" i="20" a="1"/>
  <c r="D101" i="20" s="1"/>
  <c r="H101" i="20" a="1"/>
  <c r="H101" i="20" s="1"/>
  <c r="B101" i="20" a="1"/>
  <c r="B101" i="20" s="1"/>
  <c r="F101" i="20" a="1"/>
  <c r="F101" i="20" s="1"/>
  <c r="C101" i="20" a="1"/>
  <c r="C101" i="20" s="1"/>
  <c r="E102" i="20" a="1"/>
  <c r="E102" i="20" s="1"/>
  <c r="A210" i="13" a="1"/>
  <c r="A210" i="13" s="1"/>
  <c r="H209" i="13" a="1"/>
  <c r="H209" i="13" s="1"/>
  <c r="F210" i="13" l="1" a="1"/>
  <c r="F210" i="13" s="1"/>
  <c r="G210" i="13" a="1"/>
  <c r="G210" i="13" s="1"/>
  <c r="M102" i="20" a="1"/>
  <c r="M102" i="20" s="1"/>
  <c r="H102" i="20" a="1"/>
  <c r="H102" i="20" s="1"/>
  <c r="F102" i="20" a="1"/>
  <c r="F102" i="20" s="1"/>
  <c r="L102" i="20" a="1"/>
  <c r="L102" i="20" s="1"/>
  <c r="J102" i="20" a="1"/>
  <c r="J102" i="20" s="1"/>
  <c r="G102" i="20" a="1"/>
  <c r="G102" i="20" s="1"/>
  <c r="K102" i="20" a="1"/>
  <c r="K102" i="20" s="1"/>
  <c r="C102" i="20" a="1"/>
  <c r="C102" i="20" s="1"/>
  <c r="D102" i="20" a="1"/>
  <c r="D102" i="20" s="1"/>
  <c r="I102" i="20" a="1"/>
  <c r="I102" i="20" s="1"/>
  <c r="B102" i="20" a="1"/>
  <c r="B102" i="20" s="1"/>
  <c r="A102" i="20" a="1"/>
  <c r="A102" i="20" s="1"/>
  <c r="E103" i="20" a="1"/>
  <c r="E103" i="20" s="1"/>
  <c r="A211" i="13" a="1"/>
  <c r="A211" i="13" s="1"/>
  <c r="H210" i="13" a="1"/>
  <c r="H210" i="13" s="1"/>
  <c r="B210" i="13" a="1"/>
  <c r="B210" i="13" s="1"/>
  <c r="B211" i="13" l="1" a="1"/>
  <c r="B211" i="13" s="1"/>
  <c r="F211" i="13" a="1"/>
  <c r="F211" i="13" s="1"/>
  <c r="G211" i="13" a="1"/>
  <c r="G211" i="13" s="1"/>
  <c r="M103" i="20" a="1"/>
  <c r="M103" i="20" s="1"/>
  <c r="I103" i="20" a="1"/>
  <c r="I103" i="20" s="1"/>
  <c r="D103" i="20" a="1"/>
  <c r="D103" i="20" s="1"/>
  <c r="K103" i="20" a="1"/>
  <c r="K103" i="20" s="1"/>
  <c r="H103" i="20" a="1"/>
  <c r="H103" i="20" s="1"/>
  <c r="A103" i="20" a="1"/>
  <c r="A103" i="20" s="1"/>
  <c r="J103" i="20" a="1"/>
  <c r="J103" i="20" s="1"/>
  <c r="G103" i="20" a="1"/>
  <c r="G103" i="20" s="1"/>
  <c r="B103" i="20" a="1"/>
  <c r="B103" i="20" s="1"/>
  <c r="L103" i="20" a="1"/>
  <c r="L103" i="20" s="1"/>
  <c r="F103" i="20" a="1"/>
  <c r="F103" i="20" s="1"/>
  <c r="C103" i="20" a="1"/>
  <c r="C103" i="20" s="1"/>
  <c r="E104" i="20" a="1"/>
  <c r="E104" i="20" s="1"/>
  <c r="H211" i="13" a="1"/>
  <c r="H211" i="13" s="1"/>
  <c r="A212" i="13" a="1"/>
  <c r="A212" i="13" s="1"/>
  <c r="F212" i="13" l="1" a="1"/>
  <c r="F212" i="13" s="1"/>
  <c r="G212" i="13" a="1"/>
  <c r="G212" i="13" s="1"/>
  <c r="M104" i="20" a="1"/>
  <c r="M104" i="20" s="1"/>
  <c r="G104" i="20" a="1"/>
  <c r="G104" i="20" s="1"/>
  <c r="I104" i="20" a="1"/>
  <c r="I104" i="20" s="1"/>
  <c r="L104" i="20" a="1"/>
  <c r="L104" i="20" s="1"/>
  <c r="F104" i="20" a="1"/>
  <c r="F104" i="20" s="1"/>
  <c r="H104" i="20" a="1"/>
  <c r="H104" i="20" s="1"/>
  <c r="K104" i="20" a="1"/>
  <c r="K104" i="20" s="1"/>
  <c r="D104" i="20" a="1"/>
  <c r="D104" i="20" s="1"/>
  <c r="A104" i="20" a="1"/>
  <c r="A104" i="20" s="1"/>
  <c r="J104" i="20" a="1"/>
  <c r="J104" i="20" s="1"/>
  <c r="C104" i="20" a="1"/>
  <c r="C104" i="20" s="1"/>
  <c r="B104" i="20" a="1"/>
  <c r="B104" i="20" s="1"/>
  <c r="E105" i="20" a="1"/>
  <c r="E105" i="20" s="1"/>
  <c r="A213" i="13" a="1"/>
  <c r="A213" i="13" s="1"/>
  <c r="H212" i="13" a="1"/>
  <c r="H212" i="13" s="1"/>
  <c r="B212" i="13" a="1"/>
  <c r="B212" i="13" s="1"/>
  <c r="B213" i="13" l="1" a="1"/>
  <c r="B213" i="13" s="1"/>
  <c r="F213" i="13" a="1"/>
  <c r="F213" i="13" s="1"/>
  <c r="G213" i="13" a="1"/>
  <c r="G213" i="13" s="1"/>
  <c r="L105" i="20" a="1"/>
  <c r="L105" i="20" s="1"/>
  <c r="H105" i="20" a="1"/>
  <c r="H105" i="20" s="1"/>
  <c r="G105" i="20" a="1"/>
  <c r="G105" i="20" s="1"/>
  <c r="M105" i="20" a="1"/>
  <c r="M105" i="20" s="1"/>
  <c r="K105" i="20" a="1"/>
  <c r="K105" i="20" s="1"/>
  <c r="D105" i="20" a="1"/>
  <c r="D105" i="20" s="1"/>
  <c r="J105" i="20" a="1"/>
  <c r="J105" i="20" s="1"/>
  <c r="C105" i="20" a="1"/>
  <c r="C105" i="20" s="1"/>
  <c r="F105" i="20" a="1"/>
  <c r="F105" i="20" s="1"/>
  <c r="I105" i="20" a="1"/>
  <c r="I105" i="20" s="1"/>
  <c r="B105" i="20" a="1"/>
  <c r="B105" i="20" s="1"/>
  <c r="A105" i="20" a="1"/>
  <c r="A105" i="20" s="1"/>
  <c r="E106" i="20" a="1"/>
  <c r="E106" i="20" s="1"/>
  <c r="H213" i="13" a="1"/>
  <c r="H213" i="13" s="1"/>
  <c r="A214" i="13" a="1"/>
  <c r="A214" i="13" s="1"/>
  <c r="F214" i="13" l="1" a="1"/>
  <c r="F214" i="13" s="1"/>
  <c r="G214" i="13" a="1"/>
  <c r="G214" i="13" s="1"/>
  <c r="M106" i="20" a="1"/>
  <c r="M106" i="20" s="1"/>
  <c r="H106" i="20" a="1"/>
  <c r="H106" i="20" s="1"/>
  <c r="A106" i="20" a="1"/>
  <c r="A106" i="20" s="1"/>
  <c r="L106" i="20" a="1"/>
  <c r="L106" i="20" s="1"/>
  <c r="C106" i="20" a="1"/>
  <c r="C106" i="20" s="1"/>
  <c r="F106" i="20" a="1"/>
  <c r="F106" i="20" s="1"/>
  <c r="J106" i="20" a="1"/>
  <c r="J106" i="20" s="1"/>
  <c r="B106" i="20" a="1"/>
  <c r="B106" i="20" s="1"/>
  <c r="I106" i="20" a="1"/>
  <c r="I106" i="20" s="1"/>
  <c r="G106" i="20" a="1"/>
  <c r="G106" i="20" s="1"/>
  <c r="D106" i="20" a="1"/>
  <c r="D106" i="20" s="1"/>
  <c r="K106" i="20" a="1"/>
  <c r="K106" i="20" s="1"/>
  <c r="E107" i="20" a="1"/>
  <c r="E107" i="20" s="1"/>
  <c r="B214" i="13" a="1"/>
  <c r="B214" i="13" s="1"/>
  <c r="H214" i="13" a="1"/>
  <c r="H214" i="13" s="1"/>
  <c r="A215" i="13" a="1"/>
  <c r="A215" i="13" s="1"/>
  <c r="B215" i="13" l="1" a="1"/>
  <c r="B215" i="13" s="1"/>
  <c r="F215" i="13" a="1"/>
  <c r="F215" i="13" s="1"/>
  <c r="G215" i="13" a="1"/>
  <c r="G215" i="13" s="1"/>
  <c r="M107" i="20" a="1"/>
  <c r="M107" i="20" s="1"/>
  <c r="I107" i="20" a="1"/>
  <c r="I107" i="20" s="1"/>
  <c r="D107" i="20" a="1"/>
  <c r="D107" i="20" s="1"/>
  <c r="K107" i="20" a="1"/>
  <c r="K107" i="20" s="1"/>
  <c r="H107" i="20" a="1"/>
  <c r="H107" i="20" s="1"/>
  <c r="B107" i="20" a="1"/>
  <c r="B107" i="20" s="1"/>
  <c r="L107" i="20" a="1"/>
  <c r="L107" i="20" s="1"/>
  <c r="G107" i="20" a="1"/>
  <c r="G107" i="20" s="1"/>
  <c r="C107" i="20" a="1"/>
  <c r="C107" i="20" s="1"/>
  <c r="J107" i="20" a="1"/>
  <c r="J107" i="20" s="1"/>
  <c r="F107" i="20" a="1"/>
  <c r="F107" i="20" s="1"/>
  <c r="A107" i="20" a="1"/>
  <c r="A107" i="20" s="1"/>
  <c r="E108" i="20" a="1"/>
  <c r="E108" i="20" s="1"/>
  <c r="A216" i="13" a="1"/>
  <c r="A216" i="13" s="1"/>
  <c r="H215" i="13" a="1"/>
  <c r="H215" i="13" s="1"/>
  <c r="H216" i="13" l="1" a="1"/>
  <c r="H216" i="13" s="1"/>
  <c r="F216" i="13" a="1"/>
  <c r="F216" i="13" s="1"/>
  <c r="G216" i="13" a="1"/>
  <c r="G216" i="13" s="1"/>
  <c r="L108" i="20" a="1"/>
  <c r="L108" i="20" s="1"/>
  <c r="I108" i="20" a="1"/>
  <c r="I108" i="20" s="1"/>
  <c r="D108" i="20" a="1"/>
  <c r="D108" i="20" s="1"/>
  <c r="M108" i="20" a="1"/>
  <c r="M108" i="20" s="1"/>
  <c r="H108" i="20" a="1"/>
  <c r="H108" i="20" s="1"/>
  <c r="A108" i="20" a="1"/>
  <c r="A108" i="20" s="1"/>
  <c r="K108" i="20" a="1"/>
  <c r="K108" i="20" s="1"/>
  <c r="B108" i="20" a="1"/>
  <c r="B108" i="20" s="1"/>
  <c r="J108" i="20" a="1"/>
  <c r="J108" i="20" s="1"/>
  <c r="F108" i="20" a="1"/>
  <c r="F108" i="20" s="1"/>
  <c r="C108" i="20" a="1"/>
  <c r="C108" i="20" s="1"/>
  <c r="G108" i="20" a="1"/>
  <c r="G108" i="20" s="1"/>
  <c r="E109" i="20" a="1"/>
  <c r="E109" i="20" s="1"/>
  <c r="A217" i="13" a="1"/>
  <c r="A217" i="13" s="1"/>
  <c r="B216" i="13" a="1"/>
  <c r="B216" i="13" s="1"/>
  <c r="H217" i="13" l="1" a="1"/>
  <c r="H217" i="13" s="1"/>
  <c r="F217" i="13" a="1"/>
  <c r="F217" i="13" s="1"/>
  <c r="G217" i="13" a="1"/>
  <c r="G217" i="13" s="1"/>
  <c r="M109" i="20" a="1"/>
  <c r="M109" i="20" s="1"/>
  <c r="I109" i="20" a="1"/>
  <c r="I109" i="20" s="1"/>
  <c r="D109" i="20" a="1"/>
  <c r="D109" i="20" s="1"/>
  <c r="L109" i="20" a="1"/>
  <c r="L109" i="20" s="1"/>
  <c r="H109" i="20" a="1"/>
  <c r="H109" i="20" s="1"/>
  <c r="F109" i="20" a="1"/>
  <c r="F109" i="20" s="1"/>
  <c r="J109" i="20" a="1"/>
  <c r="J109" i="20" s="1"/>
  <c r="C109" i="20" a="1"/>
  <c r="C109" i="20" s="1"/>
  <c r="A109" i="20" a="1"/>
  <c r="A109" i="20" s="1"/>
  <c r="K109" i="20" a="1"/>
  <c r="K109" i="20" s="1"/>
  <c r="G109" i="20" a="1"/>
  <c r="G109" i="20" s="1"/>
  <c r="B109" i="20" a="1"/>
  <c r="B109" i="20" s="1"/>
  <c r="E110" i="20" a="1"/>
  <c r="E110" i="20" s="1"/>
  <c r="B217" i="13" a="1"/>
  <c r="B217" i="13" s="1"/>
  <c r="A218" i="13" a="1"/>
  <c r="A218" i="13" s="1"/>
  <c r="B218" i="13" l="1" a="1"/>
  <c r="B218" i="13" s="1"/>
  <c r="F218" i="13" a="1"/>
  <c r="F218" i="13" s="1"/>
  <c r="G218" i="13" a="1"/>
  <c r="G218" i="13" s="1"/>
  <c r="M110" i="20" a="1"/>
  <c r="M110" i="20" s="1"/>
  <c r="C110" i="20" a="1"/>
  <c r="C110" i="20" s="1"/>
  <c r="G110" i="20" a="1"/>
  <c r="G110" i="20" s="1"/>
  <c r="I110" i="20" a="1"/>
  <c r="I110" i="20" s="1"/>
  <c r="B110" i="20" a="1"/>
  <c r="B110" i="20" s="1"/>
  <c r="H110" i="20" a="1"/>
  <c r="H110" i="20" s="1"/>
  <c r="K110" i="20" a="1"/>
  <c r="K110" i="20" s="1"/>
  <c r="L110" i="20" a="1"/>
  <c r="L110" i="20" s="1"/>
  <c r="F110" i="20" a="1"/>
  <c r="F110" i="20" s="1"/>
  <c r="J110" i="20" a="1"/>
  <c r="J110" i="20" s="1"/>
  <c r="D110" i="20" a="1"/>
  <c r="D110" i="20" s="1"/>
  <c r="A110" i="20" a="1"/>
  <c r="A110" i="20" s="1"/>
  <c r="E111" i="20" a="1"/>
  <c r="E111" i="20" s="1"/>
  <c r="A219" i="13" a="1"/>
  <c r="A219" i="13" s="1"/>
  <c r="H218" i="13" a="1"/>
  <c r="H218" i="13" s="1"/>
  <c r="B219" i="13" l="1" a="1"/>
  <c r="B219" i="13" s="1"/>
  <c r="F219" i="13" a="1"/>
  <c r="F219" i="13" s="1"/>
  <c r="G219" i="13" a="1"/>
  <c r="G219" i="13" s="1"/>
  <c r="L111" i="20" a="1"/>
  <c r="L111" i="20" s="1"/>
  <c r="M111" i="20" a="1"/>
  <c r="M111" i="20" s="1"/>
  <c r="D111" i="20" a="1"/>
  <c r="D111" i="20" s="1"/>
  <c r="K111" i="20" a="1"/>
  <c r="K111" i="20" s="1"/>
  <c r="H111" i="20" a="1"/>
  <c r="H111" i="20" s="1"/>
  <c r="C111" i="20" a="1"/>
  <c r="C111" i="20" s="1"/>
  <c r="J111" i="20" a="1"/>
  <c r="J111" i="20" s="1"/>
  <c r="G111" i="20" a="1"/>
  <c r="G111" i="20" s="1"/>
  <c r="A111" i="20" a="1"/>
  <c r="A111" i="20" s="1"/>
  <c r="I111" i="20" a="1"/>
  <c r="I111" i="20" s="1"/>
  <c r="F111" i="20" a="1"/>
  <c r="F111" i="20" s="1"/>
  <c r="B111" i="20" a="1"/>
  <c r="B111" i="20" s="1"/>
  <c r="E112" i="20" a="1"/>
  <c r="E112" i="20" s="1"/>
  <c r="H219" i="13" a="1"/>
  <c r="H219" i="13" s="1"/>
  <c r="A220" i="13" a="1"/>
  <c r="A220" i="13" s="1"/>
  <c r="B220" i="13" l="1" a="1"/>
  <c r="B220" i="13" s="1"/>
  <c r="F220" i="13" a="1"/>
  <c r="F220" i="13" s="1"/>
  <c r="G220" i="13" a="1"/>
  <c r="G220" i="13" s="1"/>
  <c r="M112" i="20" a="1"/>
  <c r="M112" i="20" s="1"/>
  <c r="I112" i="20" a="1"/>
  <c r="I112" i="20" s="1"/>
  <c r="D112" i="20" a="1"/>
  <c r="D112" i="20" s="1"/>
  <c r="L112" i="20" a="1"/>
  <c r="L112" i="20" s="1"/>
  <c r="H112" i="20" a="1"/>
  <c r="H112" i="20" s="1"/>
  <c r="B112" i="20" a="1"/>
  <c r="B112" i="20" s="1"/>
  <c r="K112" i="20" a="1"/>
  <c r="K112" i="20" s="1"/>
  <c r="G112" i="20" a="1"/>
  <c r="G112" i="20" s="1"/>
  <c r="C112" i="20" a="1"/>
  <c r="C112" i="20" s="1"/>
  <c r="J112" i="20" a="1"/>
  <c r="J112" i="20" s="1"/>
  <c r="F112" i="20" a="1"/>
  <c r="F112" i="20" s="1"/>
  <c r="A112" i="20" a="1"/>
  <c r="A112" i="20" s="1"/>
  <c r="E113" i="20" a="1"/>
  <c r="E113" i="20" s="1"/>
  <c r="A221" i="13" a="1"/>
  <c r="A221" i="13" s="1"/>
  <c r="H220" i="13" a="1"/>
  <c r="H220" i="13" s="1"/>
  <c r="B221" i="13" l="1" a="1"/>
  <c r="B221" i="13" s="1"/>
  <c r="F221" i="13" a="1"/>
  <c r="F221" i="13" s="1"/>
  <c r="G221" i="13" a="1"/>
  <c r="G221" i="13" s="1"/>
  <c r="M113" i="20" a="1"/>
  <c r="M113" i="20" s="1"/>
  <c r="J113" i="20" a="1"/>
  <c r="J113" i="20" s="1"/>
  <c r="A113" i="20" a="1"/>
  <c r="A113" i="20" s="1"/>
  <c r="L113" i="20" a="1"/>
  <c r="L113" i="20" s="1"/>
  <c r="C113" i="20" a="1"/>
  <c r="C113" i="20" s="1"/>
  <c r="G113" i="20" a="1"/>
  <c r="G113" i="20" s="1"/>
  <c r="K113" i="20" a="1"/>
  <c r="K113" i="20" s="1"/>
  <c r="B113" i="20" a="1"/>
  <c r="B113" i="20" s="1"/>
  <c r="D113" i="20" a="1"/>
  <c r="D113" i="20" s="1"/>
  <c r="I113" i="20" a="1"/>
  <c r="I113" i="20" s="1"/>
  <c r="F113" i="20" a="1"/>
  <c r="F113" i="20" s="1"/>
  <c r="H113" i="20" a="1"/>
  <c r="H113" i="20" s="1"/>
  <c r="E114" i="20" a="1"/>
  <c r="E114" i="20" s="1"/>
  <c r="H221" i="13" a="1"/>
  <c r="H221" i="13" s="1"/>
  <c r="A222" i="13" a="1"/>
  <c r="A222" i="13" s="1"/>
  <c r="B222" i="13" l="1" a="1"/>
  <c r="B222" i="13" s="1"/>
  <c r="F222" i="13" a="1"/>
  <c r="F222" i="13" s="1"/>
  <c r="G222" i="13" a="1"/>
  <c r="G222" i="13" s="1"/>
  <c r="M114" i="20" a="1"/>
  <c r="M114" i="20" s="1"/>
  <c r="I114" i="20" a="1"/>
  <c r="I114" i="20" s="1"/>
  <c r="D114" i="20" a="1"/>
  <c r="D114" i="20" s="1"/>
  <c r="L114" i="20" a="1"/>
  <c r="L114" i="20" s="1"/>
  <c r="H114" i="20" a="1"/>
  <c r="H114" i="20" s="1"/>
  <c r="A114" i="20" a="1"/>
  <c r="A114" i="20" s="1"/>
  <c r="C114" i="20" a="1"/>
  <c r="C114" i="20" s="1"/>
  <c r="F114" i="20" a="1"/>
  <c r="F114" i="20" s="1"/>
  <c r="J114" i="20" a="1"/>
  <c r="J114" i="20" s="1"/>
  <c r="B114" i="20" a="1"/>
  <c r="B114" i="20" s="1"/>
  <c r="K114" i="20" a="1"/>
  <c r="K114" i="20" s="1"/>
  <c r="G114" i="20" a="1"/>
  <c r="G114" i="20" s="1"/>
  <c r="E115" i="20" a="1"/>
  <c r="E115" i="20" s="1"/>
  <c r="A223" i="13" a="1"/>
  <c r="A223" i="13" s="1"/>
  <c r="H222" i="13" a="1"/>
  <c r="H222" i="13" s="1"/>
  <c r="B223" i="13" l="1" a="1"/>
  <c r="B223" i="13" s="1"/>
  <c r="F223" i="13" a="1"/>
  <c r="F223" i="13" s="1"/>
  <c r="G223" i="13" a="1"/>
  <c r="G223" i="13" s="1"/>
  <c r="M115" i="20" a="1"/>
  <c r="M115" i="20" s="1"/>
  <c r="H115" i="20" a="1"/>
  <c r="H115" i="20" s="1"/>
  <c r="I115" i="20" a="1"/>
  <c r="I115" i="20" s="1"/>
  <c r="K115" i="20" a="1"/>
  <c r="K115" i="20" s="1"/>
  <c r="G115" i="20" a="1"/>
  <c r="G115" i="20" s="1"/>
  <c r="B115" i="20" a="1"/>
  <c r="B115" i="20" s="1"/>
  <c r="F115" i="20" a="1"/>
  <c r="F115" i="20" s="1"/>
  <c r="A115" i="20" a="1"/>
  <c r="A115" i="20" s="1"/>
  <c r="J115" i="20" a="1"/>
  <c r="J115" i="20" s="1"/>
  <c r="D115" i="20" a="1"/>
  <c r="D115" i="20" s="1"/>
  <c r="L115" i="20" a="1"/>
  <c r="L115" i="20" s="1"/>
  <c r="C115" i="20" a="1"/>
  <c r="C115" i="20" s="1"/>
  <c r="E116" i="20" a="1"/>
  <c r="E116" i="20" s="1"/>
  <c r="H223" i="13" a="1"/>
  <c r="H223" i="13" s="1"/>
  <c r="A224" i="13" a="1"/>
  <c r="A224" i="13" s="1"/>
  <c r="B224" i="13" l="1" a="1"/>
  <c r="B224" i="13" s="1"/>
  <c r="F224" i="13" a="1"/>
  <c r="F224" i="13" s="1"/>
  <c r="G224" i="13" a="1"/>
  <c r="G224" i="13" s="1"/>
  <c r="M116" i="20" a="1"/>
  <c r="M116" i="20" s="1"/>
  <c r="I116" i="20" a="1"/>
  <c r="I116" i="20" s="1"/>
  <c r="D116" i="20" a="1"/>
  <c r="D116" i="20" s="1"/>
  <c r="L116" i="20" a="1"/>
  <c r="L116" i="20" s="1"/>
  <c r="H116" i="20" a="1"/>
  <c r="H116" i="20" s="1"/>
  <c r="C116" i="20" a="1"/>
  <c r="C116" i="20" s="1"/>
  <c r="K116" i="20" a="1"/>
  <c r="K116" i="20" s="1"/>
  <c r="G116" i="20" a="1"/>
  <c r="G116" i="20" s="1"/>
  <c r="B116" i="20" a="1"/>
  <c r="B116" i="20" s="1"/>
  <c r="J116" i="20" a="1"/>
  <c r="J116" i="20" s="1"/>
  <c r="F116" i="20" a="1"/>
  <c r="F116" i="20" s="1"/>
  <c r="A116" i="20" a="1"/>
  <c r="A116" i="20" s="1"/>
  <c r="E117" i="20" a="1"/>
  <c r="E117" i="20" s="1"/>
  <c r="A225" i="13" a="1"/>
  <c r="A225" i="13" s="1"/>
  <c r="H224" i="13" a="1"/>
  <c r="H224" i="13" s="1"/>
  <c r="H225" i="13" l="1" a="1"/>
  <c r="H225" i="13" s="1"/>
  <c r="F225" i="13" a="1"/>
  <c r="F225" i="13" s="1"/>
  <c r="G225" i="13" a="1"/>
  <c r="G225" i="13" s="1"/>
  <c r="M117" i="20" a="1"/>
  <c r="M117" i="20" s="1"/>
  <c r="K117" i="20" a="1"/>
  <c r="K117" i="20" s="1"/>
  <c r="G117" i="20" a="1"/>
  <c r="G117" i="20" s="1"/>
  <c r="L117" i="20" a="1"/>
  <c r="L117" i="20" s="1"/>
  <c r="H117" i="20" a="1"/>
  <c r="H117" i="20" s="1"/>
  <c r="F117" i="20" a="1"/>
  <c r="F117" i="20" s="1"/>
  <c r="J117" i="20" a="1"/>
  <c r="J117" i="20" s="1"/>
  <c r="C117" i="20" a="1"/>
  <c r="C117" i="20" s="1"/>
  <c r="A117" i="20" a="1"/>
  <c r="A117" i="20" s="1"/>
  <c r="I117" i="20" a="1"/>
  <c r="I117" i="20" s="1"/>
  <c r="B117" i="20" a="1"/>
  <c r="B117" i="20" s="1"/>
  <c r="D117" i="20" a="1"/>
  <c r="D117" i="20" s="1"/>
  <c r="E118" i="20" a="1"/>
  <c r="E118" i="20" s="1"/>
  <c r="A226" i="13" a="1"/>
  <c r="A226" i="13" s="1"/>
  <c r="B225" i="13" a="1"/>
  <c r="B225" i="13" s="1"/>
  <c r="F226" i="13" l="1" a="1"/>
  <c r="F226" i="13" s="1"/>
  <c r="G226" i="13" a="1"/>
  <c r="G226" i="13" s="1"/>
  <c r="M118" i="20" a="1"/>
  <c r="M118" i="20" s="1"/>
  <c r="C118" i="20" a="1"/>
  <c r="C118" i="20" s="1"/>
  <c r="H118" i="20" a="1"/>
  <c r="H118" i="20" s="1"/>
  <c r="L118" i="20" a="1"/>
  <c r="L118" i="20" s="1"/>
  <c r="B118" i="20" a="1"/>
  <c r="B118" i="20" s="1"/>
  <c r="G118" i="20" a="1"/>
  <c r="G118" i="20" s="1"/>
  <c r="J118" i="20" a="1"/>
  <c r="J118" i="20" s="1"/>
  <c r="A118" i="20" a="1"/>
  <c r="A118" i="20" s="1"/>
  <c r="I118" i="20" a="1"/>
  <c r="I118" i="20" s="1"/>
  <c r="D118" i="20" a="1"/>
  <c r="D118" i="20" s="1"/>
  <c r="K118" i="20" a="1"/>
  <c r="K118" i="20" s="1"/>
  <c r="F118" i="20" a="1"/>
  <c r="F118" i="20" s="1"/>
  <c r="E119" i="20" a="1"/>
  <c r="E119" i="20" s="1"/>
  <c r="A227" i="13" a="1"/>
  <c r="A227" i="13" s="1"/>
  <c r="B226" i="13" a="1"/>
  <c r="B226" i="13" s="1"/>
  <c r="H226" i="13" a="1"/>
  <c r="H226" i="13" s="1"/>
  <c r="H227" i="13" l="1" a="1"/>
  <c r="H227" i="13" s="1"/>
  <c r="F227" i="13" a="1"/>
  <c r="F227" i="13" s="1"/>
  <c r="G227" i="13" a="1"/>
  <c r="G227" i="13" s="1"/>
  <c r="L119" i="20" a="1"/>
  <c r="L119" i="20" s="1"/>
  <c r="I119" i="20" a="1"/>
  <c r="I119" i="20" s="1"/>
  <c r="D119" i="20" a="1"/>
  <c r="D119" i="20" s="1"/>
  <c r="M119" i="20" a="1"/>
  <c r="M119" i="20" s="1"/>
  <c r="H119" i="20" a="1"/>
  <c r="H119" i="20" s="1"/>
  <c r="A119" i="20" a="1"/>
  <c r="A119" i="20" s="1"/>
  <c r="K119" i="20" a="1"/>
  <c r="K119" i="20" s="1"/>
  <c r="G119" i="20" a="1"/>
  <c r="G119" i="20" s="1"/>
  <c r="B119" i="20" a="1"/>
  <c r="B119" i="20" s="1"/>
  <c r="J119" i="20" a="1"/>
  <c r="J119" i="20" s="1"/>
  <c r="F119" i="20" a="1"/>
  <c r="F119" i="20" s="1"/>
  <c r="C119" i="20" a="1"/>
  <c r="C119" i="20" s="1"/>
  <c r="E120" i="20" a="1"/>
  <c r="E120" i="20" s="1"/>
  <c r="A228" i="13" a="1"/>
  <c r="A228" i="13" s="1"/>
  <c r="B227" i="13" a="1"/>
  <c r="B227" i="13" s="1"/>
  <c r="F228" i="13" l="1" a="1"/>
  <c r="F228" i="13" s="1"/>
  <c r="G228" i="13" a="1"/>
  <c r="G228" i="13" s="1"/>
  <c r="L120" i="20" a="1"/>
  <c r="L120" i="20" s="1"/>
  <c r="I120" i="20" a="1"/>
  <c r="I120" i="20" s="1"/>
  <c r="D120" i="20" a="1"/>
  <c r="D120" i="20" s="1"/>
  <c r="K120" i="20" a="1"/>
  <c r="K120" i="20" s="1"/>
  <c r="H120" i="20" a="1"/>
  <c r="H120" i="20" s="1"/>
  <c r="C120" i="20" a="1"/>
  <c r="C120" i="20" s="1"/>
  <c r="M120" i="20" a="1"/>
  <c r="M120" i="20" s="1"/>
  <c r="G120" i="20" a="1"/>
  <c r="G120" i="20" s="1"/>
  <c r="J120" i="20" a="1"/>
  <c r="J120" i="20" s="1"/>
  <c r="F120" i="20" a="1"/>
  <c r="F120" i="20" s="1"/>
  <c r="A120" i="20" a="1"/>
  <c r="A120" i="20" s="1"/>
  <c r="B120" i="20" a="1"/>
  <c r="B120" i="20" s="1"/>
  <c r="E121" i="20" a="1"/>
  <c r="E121" i="20" s="1"/>
  <c r="B228" i="13" a="1"/>
  <c r="B228" i="13" s="1"/>
  <c r="H228" i="13" a="1"/>
  <c r="H228" i="13" s="1"/>
  <c r="A229" i="13" a="1"/>
  <c r="A229" i="13" s="1"/>
  <c r="H229" i="13" l="1" a="1"/>
  <c r="H229" i="13" s="1"/>
  <c r="F229" i="13" a="1"/>
  <c r="F229" i="13" s="1"/>
  <c r="G229" i="13" a="1"/>
  <c r="G229" i="13" s="1"/>
  <c r="M121" i="20" a="1"/>
  <c r="M121" i="20" s="1"/>
  <c r="J121" i="20" a="1"/>
  <c r="J121" i="20" s="1"/>
  <c r="A121" i="20" a="1"/>
  <c r="A121" i="20" s="1"/>
  <c r="I121" i="20" a="1"/>
  <c r="I121" i="20" s="1"/>
  <c r="C121" i="20" a="1"/>
  <c r="C121" i="20" s="1"/>
  <c r="H121" i="20" a="1"/>
  <c r="H121" i="20" s="1"/>
  <c r="B121" i="20" a="1"/>
  <c r="B121" i="20" s="1"/>
  <c r="F121" i="20" a="1"/>
  <c r="F121" i="20" s="1"/>
  <c r="D121" i="20" a="1"/>
  <c r="D121" i="20" s="1"/>
  <c r="L121" i="20" a="1"/>
  <c r="L121" i="20" s="1"/>
  <c r="K121" i="20" a="1"/>
  <c r="K121" i="20" s="1"/>
  <c r="G121" i="20" a="1"/>
  <c r="G121" i="20" s="1"/>
  <c r="E122" i="20" a="1"/>
  <c r="E122" i="20" s="1"/>
  <c r="A230" i="13" a="1"/>
  <c r="A230" i="13" s="1"/>
  <c r="B229" i="13" a="1"/>
  <c r="B229" i="13" s="1"/>
  <c r="F230" i="13" l="1" a="1"/>
  <c r="F230" i="13" s="1"/>
  <c r="G230" i="13" a="1"/>
  <c r="G230" i="13" s="1"/>
  <c r="M122" i="20" a="1"/>
  <c r="M122" i="20" s="1"/>
  <c r="K122" i="20" a="1"/>
  <c r="K122" i="20" s="1"/>
  <c r="A122" i="20" a="1"/>
  <c r="A122" i="20" s="1"/>
  <c r="L122" i="20" a="1"/>
  <c r="L122" i="20" s="1"/>
  <c r="C122" i="20" a="1"/>
  <c r="C122" i="20" s="1"/>
  <c r="D122" i="20" a="1"/>
  <c r="D122" i="20" s="1"/>
  <c r="I122" i="20" a="1"/>
  <c r="I122" i="20" s="1"/>
  <c r="B122" i="20" a="1"/>
  <c r="B122" i="20" s="1"/>
  <c r="J122" i="20" a="1"/>
  <c r="J122" i="20" s="1"/>
  <c r="H122" i="20" a="1"/>
  <c r="H122" i="20" s="1"/>
  <c r="G122" i="20" a="1"/>
  <c r="G122" i="20" s="1"/>
  <c r="F122" i="20" a="1"/>
  <c r="F122" i="20" s="1"/>
  <c r="E123" i="20" a="1"/>
  <c r="E123" i="20" s="1"/>
  <c r="A231" i="13" a="1"/>
  <c r="A231" i="13" s="1"/>
  <c r="B230" i="13" a="1"/>
  <c r="B230" i="13" s="1"/>
  <c r="H230" i="13" a="1"/>
  <c r="H230" i="13" s="1"/>
  <c r="B231" i="13" l="1" a="1"/>
  <c r="B231" i="13" s="1"/>
  <c r="F231" i="13" a="1"/>
  <c r="F231" i="13" s="1"/>
  <c r="G231" i="13" a="1"/>
  <c r="G231" i="13" s="1"/>
  <c r="L123" i="20" a="1"/>
  <c r="L123" i="20" s="1"/>
  <c r="I123" i="20" a="1"/>
  <c r="I123" i="20" s="1"/>
  <c r="D123" i="20" a="1"/>
  <c r="D123" i="20" s="1"/>
  <c r="M123" i="20" a="1"/>
  <c r="M123" i="20" s="1"/>
  <c r="H123" i="20" a="1"/>
  <c r="H123" i="20" s="1"/>
  <c r="B123" i="20" a="1"/>
  <c r="B123" i="20" s="1"/>
  <c r="G123" i="20" a="1"/>
  <c r="G123" i="20" s="1"/>
  <c r="C123" i="20" a="1"/>
  <c r="C123" i="20" s="1"/>
  <c r="J123" i="20" a="1"/>
  <c r="J123" i="20" s="1"/>
  <c r="F123" i="20" a="1"/>
  <c r="F123" i="20" s="1"/>
  <c r="A123" i="20" a="1"/>
  <c r="A123" i="20" s="1"/>
  <c r="K123" i="20" a="1"/>
  <c r="K123" i="20" s="1"/>
  <c r="E124" i="20" a="1"/>
  <c r="E124" i="20" s="1"/>
  <c r="H231" i="13" a="1"/>
  <c r="H231" i="13" s="1"/>
  <c r="A232" i="13" a="1"/>
  <c r="A232" i="13" s="1"/>
  <c r="B232" i="13" l="1" a="1"/>
  <c r="B232" i="13" s="1"/>
  <c r="F232" i="13" a="1"/>
  <c r="F232" i="13" s="1"/>
  <c r="G232" i="13" a="1"/>
  <c r="G232" i="13" s="1"/>
  <c r="M124" i="20" a="1"/>
  <c r="M124" i="20" s="1"/>
  <c r="H124" i="20" a="1"/>
  <c r="H124" i="20" s="1"/>
  <c r="L124" i="20" a="1"/>
  <c r="L124" i="20" s="1"/>
  <c r="K124" i="20" a="1"/>
  <c r="K124" i="20" s="1"/>
  <c r="G124" i="20" a="1"/>
  <c r="G124" i="20" s="1"/>
  <c r="A124" i="20" a="1"/>
  <c r="A124" i="20" s="1"/>
  <c r="J124" i="20" a="1"/>
  <c r="J124" i="20" s="1"/>
  <c r="F124" i="20" a="1"/>
  <c r="F124" i="20" s="1"/>
  <c r="B124" i="20" a="1"/>
  <c r="B124" i="20" s="1"/>
  <c r="I124" i="20" a="1"/>
  <c r="I124" i="20" s="1"/>
  <c r="D124" i="20" a="1"/>
  <c r="D124" i="20" s="1"/>
  <c r="C124" i="20" a="1"/>
  <c r="C124" i="20" s="1"/>
  <c r="E125" i="20" a="1"/>
  <c r="E125" i="20" s="1"/>
  <c r="A233" i="13" a="1"/>
  <c r="A233" i="13" s="1"/>
  <c r="H232" i="13" a="1"/>
  <c r="H232" i="13" s="1"/>
  <c r="H233" i="13" l="1" a="1"/>
  <c r="H233" i="13" s="1"/>
  <c r="F233" i="13" a="1"/>
  <c r="F233" i="13" s="1"/>
  <c r="G233" i="13" a="1"/>
  <c r="G233" i="13" s="1"/>
  <c r="M125" i="20" a="1"/>
  <c r="M125" i="20" s="1"/>
  <c r="I125" i="20" a="1"/>
  <c r="I125" i="20" s="1"/>
  <c r="D125" i="20" a="1"/>
  <c r="D125" i="20" s="1"/>
  <c r="L125" i="20" a="1"/>
  <c r="L125" i="20" s="1"/>
  <c r="H125" i="20" a="1"/>
  <c r="H125" i="20" s="1"/>
  <c r="F125" i="20" a="1"/>
  <c r="F125" i="20" s="1"/>
  <c r="K125" i="20" a="1"/>
  <c r="K125" i="20" s="1"/>
  <c r="C125" i="20" a="1"/>
  <c r="C125" i="20" s="1"/>
  <c r="A125" i="20" a="1"/>
  <c r="A125" i="20" s="1"/>
  <c r="J125" i="20" a="1"/>
  <c r="J125" i="20" s="1"/>
  <c r="G125" i="20" a="1"/>
  <c r="G125" i="20" s="1"/>
  <c r="B125" i="20" a="1"/>
  <c r="B125" i="20" s="1"/>
  <c r="E126" i="20" a="1"/>
  <c r="E126" i="20" s="1"/>
  <c r="A234" i="13" a="1"/>
  <c r="A234" i="13" s="1"/>
  <c r="B233" i="13" a="1"/>
  <c r="B233" i="13" s="1"/>
  <c r="A235" i="13" l="1" a="1"/>
  <c r="A235" i="13" s="1"/>
  <c r="B235" i="13" s="1" a="1"/>
  <c r="B235" i="13" s="1"/>
  <c r="F234" i="13" a="1"/>
  <c r="F234" i="13" s="1"/>
  <c r="G234" i="13" a="1"/>
  <c r="G234" i="13" s="1"/>
  <c r="M126" i="20" a="1"/>
  <c r="M126" i="20" s="1"/>
  <c r="K126" i="20" a="1"/>
  <c r="K126" i="20" s="1"/>
  <c r="G126" i="20" a="1"/>
  <c r="G126" i="20" s="1"/>
  <c r="L126" i="20" a="1"/>
  <c r="L126" i="20" s="1"/>
  <c r="C126" i="20" a="1"/>
  <c r="C126" i="20" s="1"/>
  <c r="D126" i="20" a="1"/>
  <c r="D126" i="20" s="1"/>
  <c r="J126" i="20" a="1"/>
  <c r="J126" i="20" s="1"/>
  <c r="B126" i="20" a="1"/>
  <c r="B126" i="20" s="1"/>
  <c r="I126" i="20" a="1"/>
  <c r="I126" i="20" s="1"/>
  <c r="H126" i="20" a="1"/>
  <c r="H126" i="20" s="1"/>
  <c r="A126" i="20" a="1"/>
  <c r="A126" i="20" s="1"/>
  <c r="F126" i="20" a="1"/>
  <c r="F126" i="20" s="1"/>
  <c r="E127" i="20" a="1"/>
  <c r="E127" i="20" s="1"/>
  <c r="B234" i="13" a="1"/>
  <c r="B234" i="13" s="1"/>
  <c r="H234" i="13" a="1"/>
  <c r="H234" i="13" s="1"/>
  <c r="A236" i="13" l="1" a="1"/>
  <c r="A236" i="13" s="1"/>
  <c r="B236" i="13" s="1" a="1"/>
  <c r="B236" i="13" s="1"/>
  <c r="H235" i="13" a="1"/>
  <c r="H235" i="13" s="1"/>
  <c r="F235" i="13" a="1"/>
  <c r="F235" i="13" s="1"/>
  <c r="G235" i="13" a="1"/>
  <c r="G235" i="13" s="1"/>
  <c r="M127" i="20" a="1"/>
  <c r="M127" i="20" s="1"/>
  <c r="I127" i="20" a="1"/>
  <c r="I127" i="20" s="1"/>
  <c r="D127" i="20" a="1"/>
  <c r="D127" i="20" s="1"/>
  <c r="L127" i="20" a="1"/>
  <c r="L127" i="20" s="1"/>
  <c r="H127" i="20" a="1"/>
  <c r="H127" i="20" s="1"/>
  <c r="C127" i="20" a="1"/>
  <c r="C127" i="20" s="1"/>
  <c r="K127" i="20" a="1"/>
  <c r="K127" i="20" s="1"/>
  <c r="G127" i="20" a="1"/>
  <c r="G127" i="20" s="1"/>
  <c r="J127" i="20" a="1"/>
  <c r="J127" i="20" s="1"/>
  <c r="F127" i="20" a="1"/>
  <c r="F127" i="20" s="1"/>
  <c r="B127" i="20" a="1"/>
  <c r="B127" i="20" s="1"/>
  <c r="A127" i="20" a="1"/>
  <c r="A127" i="20" s="1"/>
  <c r="E128" i="20" a="1"/>
  <c r="E128" i="20" s="1"/>
  <c r="A237" i="13" l="1" a="1"/>
  <c r="A237" i="13" s="1"/>
  <c r="B237" i="13" s="1" a="1"/>
  <c r="B237" i="13" s="1"/>
  <c r="H236" i="13" a="1"/>
  <c r="H236" i="13" s="1"/>
  <c r="F236" i="13" a="1"/>
  <c r="F236" i="13" s="1"/>
  <c r="G236" i="13" a="1"/>
  <c r="G236" i="13" s="1"/>
  <c r="M128" i="20" a="1"/>
  <c r="M128" i="20" s="1"/>
  <c r="I128" i="20" a="1"/>
  <c r="I128" i="20" s="1"/>
  <c r="D128" i="20" a="1"/>
  <c r="D128" i="20" s="1"/>
  <c r="K128" i="20" a="1"/>
  <c r="K128" i="20" s="1"/>
  <c r="H128" i="20" a="1"/>
  <c r="H128" i="20" s="1"/>
  <c r="B128" i="20" a="1"/>
  <c r="B128" i="20" s="1"/>
  <c r="G128" i="20" a="1"/>
  <c r="G128" i="20" s="1"/>
  <c r="C128" i="20" a="1"/>
  <c r="C128" i="20" s="1"/>
  <c r="J128" i="20" a="1"/>
  <c r="J128" i="20" s="1"/>
  <c r="F128" i="20" a="1"/>
  <c r="F128" i="20" s="1"/>
  <c r="A128" i="20" a="1"/>
  <c r="A128" i="20" s="1"/>
  <c r="L128" i="20" a="1"/>
  <c r="L128" i="20" s="1"/>
  <c r="E129" i="20" a="1"/>
  <c r="E129" i="20" s="1"/>
  <c r="A238" i="13" l="1" a="1"/>
  <c r="A238" i="13" s="1"/>
  <c r="B238" i="13" s="1" a="1"/>
  <c r="B238" i="13" s="1"/>
  <c r="H237" i="13" a="1"/>
  <c r="H237" i="13" s="1"/>
  <c r="F237" i="13" a="1"/>
  <c r="F237" i="13" s="1"/>
  <c r="G237" i="13" a="1"/>
  <c r="G237" i="13" s="1"/>
  <c r="M129" i="20" a="1"/>
  <c r="M129" i="20" s="1"/>
  <c r="C129" i="20" a="1"/>
  <c r="C129" i="20" s="1"/>
  <c r="D129" i="20" a="1"/>
  <c r="D129" i="20" s="1"/>
  <c r="L129" i="20" a="1"/>
  <c r="L129" i="20" s="1"/>
  <c r="B129" i="20" a="1"/>
  <c r="B129" i="20" s="1"/>
  <c r="H129" i="20" a="1"/>
  <c r="H129" i="20" s="1"/>
  <c r="K129" i="20" a="1"/>
  <c r="K129" i="20" s="1"/>
  <c r="J129" i="20" a="1"/>
  <c r="J129" i="20" s="1"/>
  <c r="I129" i="20" a="1"/>
  <c r="I129" i="20" s="1"/>
  <c r="F129" i="20" a="1"/>
  <c r="F129" i="20" s="1"/>
  <c r="A129" i="20" a="1"/>
  <c r="A129" i="20" s="1"/>
  <c r="G129" i="20" a="1"/>
  <c r="G129" i="20" s="1"/>
  <c r="E130" i="20" a="1"/>
  <c r="E130" i="20" s="1"/>
  <c r="A239" i="13" l="1" a="1"/>
  <c r="A239" i="13" s="1"/>
  <c r="B239" i="13" s="1" a="1"/>
  <c r="B239" i="13" s="1"/>
  <c r="H238" i="13" a="1"/>
  <c r="H238" i="13" s="1"/>
  <c r="F238" i="13" a="1"/>
  <c r="F238" i="13" s="1"/>
  <c r="G238" i="13" a="1"/>
  <c r="G238" i="13" s="1"/>
  <c r="M130" i="20" a="1"/>
  <c r="M130" i="20" s="1"/>
  <c r="I130" i="20" a="1"/>
  <c r="I130" i="20" s="1"/>
  <c r="D130" i="20" a="1"/>
  <c r="D130" i="20" s="1"/>
  <c r="L130" i="20" a="1"/>
  <c r="L130" i="20" s="1"/>
  <c r="H130" i="20" a="1"/>
  <c r="H130" i="20" s="1"/>
  <c r="A130" i="20" a="1"/>
  <c r="A130" i="20" s="1"/>
  <c r="C130" i="20" a="1"/>
  <c r="C130" i="20" s="1"/>
  <c r="F130" i="20" a="1"/>
  <c r="F130" i="20" s="1"/>
  <c r="K130" i="20" a="1"/>
  <c r="K130" i="20" s="1"/>
  <c r="B130" i="20" a="1"/>
  <c r="B130" i="20" s="1"/>
  <c r="G130" i="20" a="1"/>
  <c r="G130" i="20" s="1"/>
  <c r="J130" i="20" a="1"/>
  <c r="J130" i="20" s="1"/>
  <c r="E131" i="20" a="1"/>
  <c r="E131" i="20" s="1"/>
  <c r="A240" i="13" l="1" a="1"/>
  <c r="A240" i="13" s="1"/>
  <c r="B240" i="13" s="1" a="1"/>
  <c r="B240" i="13" s="1"/>
  <c r="H239" i="13" a="1"/>
  <c r="H239" i="13" s="1"/>
  <c r="F239" i="13" a="1"/>
  <c r="F239" i="13" s="1"/>
  <c r="G239" i="13" a="1"/>
  <c r="G239" i="13" s="1"/>
  <c r="M131" i="20" a="1"/>
  <c r="M131" i="20" s="1"/>
  <c r="I131" i="20" a="1"/>
  <c r="I131" i="20" s="1"/>
  <c r="D131" i="20" a="1"/>
  <c r="D131" i="20" s="1"/>
  <c r="L131" i="20" a="1"/>
  <c r="L131" i="20" s="1"/>
  <c r="H131" i="20" a="1"/>
  <c r="H131" i="20" s="1"/>
  <c r="C131" i="20" a="1"/>
  <c r="C131" i="20" s="1"/>
  <c r="K131" i="20" a="1"/>
  <c r="K131" i="20" s="1"/>
  <c r="G131" i="20" a="1"/>
  <c r="G131" i="20" s="1"/>
  <c r="B131" i="20" a="1"/>
  <c r="B131" i="20" s="1"/>
  <c r="J131" i="20" a="1"/>
  <c r="J131" i="20" s="1"/>
  <c r="F131" i="20" a="1"/>
  <c r="F131" i="20" s="1"/>
  <c r="A131" i="20" a="1"/>
  <c r="A131" i="20" s="1"/>
  <c r="E132" i="20" a="1"/>
  <c r="E132" i="20" s="1"/>
  <c r="A241" i="13" l="1" a="1"/>
  <c r="A241" i="13" s="1"/>
  <c r="B241" i="13" s="1" a="1"/>
  <c r="B241" i="13" s="1"/>
  <c r="H240" i="13" a="1"/>
  <c r="H240" i="13" s="1"/>
  <c r="F240" i="13" a="1"/>
  <c r="F240" i="13" s="1"/>
  <c r="G240" i="13" a="1"/>
  <c r="G240" i="13" s="1"/>
  <c r="M132" i="20" a="1"/>
  <c r="M132" i="20" s="1"/>
  <c r="I132" i="20" a="1"/>
  <c r="I132" i="20" s="1"/>
  <c r="D132" i="20" a="1"/>
  <c r="D132" i="20" s="1"/>
  <c r="L132" i="20" a="1"/>
  <c r="L132" i="20" s="1"/>
  <c r="H132" i="20" a="1"/>
  <c r="H132" i="20" s="1"/>
  <c r="C132" i="20" a="1"/>
  <c r="C132" i="20" s="1"/>
  <c r="K132" i="20" a="1"/>
  <c r="K132" i="20" s="1"/>
  <c r="G132" i="20" a="1"/>
  <c r="G132" i="20" s="1"/>
  <c r="B132" i="20" a="1"/>
  <c r="B132" i="20" s="1"/>
  <c r="J132" i="20" a="1"/>
  <c r="J132" i="20" s="1"/>
  <c r="F132" i="20" a="1"/>
  <c r="F132" i="20" s="1"/>
  <c r="A132" i="20" a="1"/>
  <c r="A132" i="20" s="1"/>
  <c r="E133" i="20" a="1"/>
  <c r="E133" i="20" s="1"/>
  <c r="A242" i="13" l="1" a="1"/>
  <c r="A242" i="13" s="1"/>
  <c r="B242" i="13" s="1" a="1"/>
  <c r="B242" i="13" s="1"/>
  <c r="H241" i="13" a="1"/>
  <c r="H241" i="13" s="1"/>
  <c r="F241" i="13" a="1"/>
  <c r="F241" i="13" s="1"/>
  <c r="G241" i="13" a="1"/>
  <c r="G241" i="13" s="1"/>
  <c r="M133" i="20" a="1"/>
  <c r="M133" i="20" s="1"/>
  <c r="H133" i="20" a="1"/>
  <c r="H133" i="20" s="1"/>
  <c r="G133" i="20" a="1"/>
  <c r="G133" i="20" s="1"/>
  <c r="I133" i="20" a="1"/>
  <c r="I133" i="20" s="1"/>
  <c r="C133" i="20" a="1"/>
  <c r="C133" i="20" s="1"/>
  <c r="A133" i="20" a="1"/>
  <c r="A133" i="20" s="1"/>
  <c r="B133" i="20" a="1"/>
  <c r="B133" i="20" s="1"/>
  <c r="D133" i="20" a="1"/>
  <c r="D133" i="20" s="1"/>
  <c r="L133" i="20" a="1"/>
  <c r="L133" i="20" s="1"/>
  <c r="J133" i="20" a="1"/>
  <c r="J133" i="20" s="1"/>
  <c r="F133" i="20" a="1"/>
  <c r="F133" i="20" s="1"/>
  <c r="K133" i="20" a="1"/>
  <c r="K133" i="20" s="1"/>
  <c r="E134" i="20" a="1"/>
  <c r="E134" i="20" s="1"/>
  <c r="A243" i="13" l="1" a="1"/>
  <c r="A243" i="13" s="1"/>
  <c r="B243" i="13" s="1" a="1"/>
  <c r="B243" i="13" s="1"/>
  <c r="H242" i="13" a="1"/>
  <c r="H242" i="13" s="1"/>
  <c r="F242" i="13" a="1"/>
  <c r="F242" i="13" s="1"/>
  <c r="G242" i="13" a="1"/>
  <c r="G242" i="13" s="1"/>
  <c r="L134" i="20" a="1"/>
  <c r="L134" i="20" s="1"/>
  <c r="C134" i="20" a="1"/>
  <c r="C134" i="20" s="1"/>
  <c r="G134" i="20" a="1"/>
  <c r="G134" i="20" s="1"/>
  <c r="K134" i="20" a="1"/>
  <c r="K134" i="20" s="1"/>
  <c r="B134" i="20" a="1"/>
  <c r="B134" i="20" s="1"/>
  <c r="D134" i="20" a="1"/>
  <c r="D134" i="20" s="1"/>
  <c r="I134" i="20" a="1"/>
  <c r="I134" i="20" s="1"/>
  <c r="M134" i="20" a="1"/>
  <c r="M134" i="20" s="1"/>
  <c r="A134" i="20" a="1"/>
  <c r="A134" i="20" s="1"/>
  <c r="J134" i="20" a="1"/>
  <c r="J134" i="20" s="1"/>
  <c r="F134" i="20" a="1"/>
  <c r="F134" i="20" s="1"/>
  <c r="H134" i="20" a="1"/>
  <c r="H134" i="20" s="1"/>
  <c r="E135" i="20" a="1"/>
  <c r="E135" i="20" s="1"/>
  <c r="A244" i="13" l="1" a="1"/>
  <c r="A244" i="13" s="1"/>
  <c r="B244" i="13" s="1" a="1"/>
  <c r="B244" i="13" s="1"/>
  <c r="H243" i="13" a="1"/>
  <c r="H243" i="13" s="1"/>
  <c r="F243" i="13" a="1"/>
  <c r="F243" i="13" s="1"/>
  <c r="G243" i="13" a="1"/>
  <c r="G243" i="13" s="1"/>
  <c r="M135" i="20" a="1"/>
  <c r="M135" i="20" s="1"/>
  <c r="L135" i="20" a="1"/>
  <c r="L135" i="20" s="1"/>
  <c r="D135" i="20" a="1"/>
  <c r="D135" i="20" s="1"/>
  <c r="K135" i="20" a="1"/>
  <c r="K135" i="20" s="1"/>
  <c r="H135" i="20" a="1"/>
  <c r="H135" i="20" s="1"/>
  <c r="A135" i="20" a="1"/>
  <c r="A135" i="20" s="1"/>
  <c r="J135" i="20" a="1"/>
  <c r="J135" i="20" s="1"/>
  <c r="G135" i="20" a="1"/>
  <c r="G135" i="20" s="1"/>
  <c r="B135" i="20" a="1"/>
  <c r="B135" i="20" s="1"/>
  <c r="I135" i="20" a="1"/>
  <c r="I135" i="20" s="1"/>
  <c r="F135" i="20" a="1"/>
  <c r="F135" i="20" s="1"/>
  <c r="C135" i="20" a="1"/>
  <c r="C135" i="20" s="1"/>
  <c r="E136" i="20" a="1"/>
  <c r="E136" i="20" s="1"/>
  <c r="A245" i="13" l="1" a="1"/>
  <c r="A245" i="13" s="1"/>
  <c r="B245" i="13" s="1" a="1"/>
  <c r="B245" i="13" s="1"/>
  <c r="H244" i="13" a="1"/>
  <c r="H244" i="13" s="1"/>
  <c r="F244" i="13" a="1"/>
  <c r="F244" i="13" s="1"/>
  <c r="G244" i="13" a="1"/>
  <c r="G244" i="13" s="1"/>
  <c r="M136" i="20" a="1"/>
  <c r="M136" i="20" s="1"/>
  <c r="G136" i="20" a="1"/>
  <c r="G136" i="20" s="1"/>
  <c r="I136" i="20" a="1"/>
  <c r="I136" i="20" s="1"/>
  <c r="K136" i="20" a="1"/>
  <c r="K136" i="20" s="1"/>
  <c r="F136" i="20" a="1"/>
  <c r="F136" i="20" s="1"/>
  <c r="A136" i="20" a="1"/>
  <c r="A136" i="20" s="1"/>
  <c r="L136" i="20" a="1"/>
  <c r="L136" i="20" s="1"/>
  <c r="D136" i="20" a="1"/>
  <c r="D136" i="20" s="1"/>
  <c r="B136" i="20" a="1"/>
  <c r="B136" i="20" s="1"/>
  <c r="H136" i="20" a="1"/>
  <c r="H136" i="20" s="1"/>
  <c r="J136" i="20" a="1"/>
  <c r="J136" i="20" s="1"/>
  <c r="C136" i="20" a="1"/>
  <c r="C136" i="20" s="1"/>
  <c r="E137" i="20" a="1"/>
  <c r="E137" i="20" s="1"/>
  <c r="H245" i="13" l="1" a="1"/>
  <c r="H245" i="13" s="1"/>
  <c r="A246" i="13" a="1"/>
  <c r="A246" i="13" s="1"/>
  <c r="H246" i="13" s="1" a="1"/>
  <c r="H246" i="13" s="1"/>
  <c r="F245" i="13" a="1"/>
  <c r="F245" i="13" s="1"/>
  <c r="G245" i="13" a="1"/>
  <c r="G245" i="13" s="1"/>
  <c r="L137" i="20" a="1"/>
  <c r="L137" i="20" s="1"/>
  <c r="K137" i="20" a="1"/>
  <c r="K137" i="20" s="1"/>
  <c r="D137" i="20" a="1"/>
  <c r="D137" i="20" s="1"/>
  <c r="M137" i="20" a="1"/>
  <c r="M137" i="20" s="1"/>
  <c r="C137" i="20" a="1"/>
  <c r="C137" i="20" s="1"/>
  <c r="A137" i="20" a="1"/>
  <c r="A137" i="20" s="1"/>
  <c r="J137" i="20" a="1"/>
  <c r="J137" i="20" s="1"/>
  <c r="B137" i="20" a="1"/>
  <c r="B137" i="20" s="1"/>
  <c r="F137" i="20" a="1"/>
  <c r="F137" i="20" s="1"/>
  <c r="I137" i="20" a="1"/>
  <c r="I137" i="20" s="1"/>
  <c r="H137" i="20" a="1"/>
  <c r="H137" i="20" s="1"/>
  <c r="G137" i="20" a="1"/>
  <c r="G137" i="20" s="1"/>
  <c r="E138" i="20" a="1"/>
  <c r="E138" i="20" s="1"/>
  <c r="A247" i="13" l="1" a="1"/>
  <c r="A247" i="13" s="1"/>
  <c r="B247" i="13" s="1" a="1"/>
  <c r="B247" i="13" s="1"/>
  <c r="B246" i="13" a="1"/>
  <c r="B246" i="13" s="1"/>
  <c r="F246" i="13" a="1"/>
  <c r="F246" i="13" s="1"/>
  <c r="G246" i="13" a="1"/>
  <c r="G246" i="13" s="1"/>
  <c r="M138" i="20" a="1"/>
  <c r="M138" i="20" s="1"/>
  <c r="K138" i="20" a="1"/>
  <c r="K138" i="20" s="1"/>
  <c r="G138" i="20" a="1"/>
  <c r="G138" i="20" s="1"/>
  <c r="L138" i="20" a="1"/>
  <c r="L138" i="20" s="1"/>
  <c r="H138" i="20" a="1"/>
  <c r="H138" i="20" s="1"/>
  <c r="A138" i="20" a="1"/>
  <c r="A138" i="20" s="1"/>
  <c r="J138" i="20" a="1"/>
  <c r="J138" i="20" s="1"/>
  <c r="C138" i="20" a="1"/>
  <c r="C138" i="20" s="1"/>
  <c r="D138" i="20" a="1"/>
  <c r="D138" i="20" s="1"/>
  <c r="I138" i="20" a="1"/>
  <c r="I138" i="20" s="1"/>
  <c r="B138" i="20" a="1"/>
  <c r="B138" i="20" s="1"/>
  <c r="F138" i="20" a="1"/>
  <c r="F138" i="20" s="1"/>
  <c r="E139" i="20" a="1"/>
  <c r="E139" i="20" s="1"/>
  <c r="A248" i="13" l="1" a="1"/>
  <c r="A248" i="13" s="1"/>
  <c r="B248" i="13" s="1" a="1"/>
  <c r="B248" i="13" s="1"/>
  <c r="H247" i="13" a="1"/>
  <c r="H247" i="13" s="1"/>
  <c r="F247" i="13" a="1"/>
  <c r="F247" i="13" s="1"/>
  <c r="G247" i="13" a="1"/>
  <c r="G247" i="13" s="1"/>
  <c r="M139" i="20" a="1"/>
  <c r="M139" i="20" s="1"/>
  <c r="I139" i="20" a="1"/>
  <c r="I139" i="20" s="1"/>
  <c r="D139" i="20" a="1"/>
  <c r="D139" i="20" s="1"/>
  <c r="K139" i="20" a="1"/>
  <c r="K139" i="20" s="1"/>
  <c r="H139" i="20" a="1"/>
  <c r="H139" i="20" s="1"/>
  <c r="B139" i="20" a="1"/>
  <c r="B139" i="20" s="1"/>
  <c r="J139" i="20" a="1"/>
  <c r="J139" i="20" s="1"/>
  <c r="G139" i="20" a="1"/>
  <c r="G139" i="20" s="1"/>
  <c r="C139" i="20" a="1"/>
  <c r="C139" i="20" s="1"/>
  <c r="L139" i="20" a="1"/>
  <c r="L139" i="20" s="1"/>
  <c r="F139" i="20" a="1"/>
  <c r="F139" i="20" s="1"/>
  <c r="A139" i="20" a="1"/>
  <c r="A139" i="20" s="1"/>
  <c r="E140" i="20" a="1"/>
  <c r="E140" i="20" s="1"/>
  <c r="A249" i="13" l="1" a="1"/>
  <c r="A249" i="13" s="1"/>
  <c r="B249" i="13" s="1" a="1"/>
  <c r="B249" i="13" s="1"/>
  <c r="H248" i="13" a="1"/>
  <c r="H248" i="13" s="1"/>
  <c r="F248" i="13" a="1"/>
  <c r="F248" i="13" s="1"/>
  <c r="G248" i="13" a="1"/>
  <c r="G248" i="13" s="1"/>
  <c r="M140" i="20" a="1"/>
  <c r="M140" i="20" s="1"/>
  <c r="I140" i="20" a="1"/>
  <c r="I140" i="20" s="1"/>
  <c r="D140" i="20" a="1"/>
  <c r="D140" i="20" s="1"/>
  <c r="L140" i="20" a="1"/>
  <c r="L140" i="20" s="1"/>
  <c r="H140" i="20" a="1"/>
  <c r="H140" i="20" s="1"/>
  <c r="A140" i="20" a="1"/>
  <c r="A140" i="20" s="1"/>
  <c r="K140" i="20" a="1"/>
  <c r="K140" i="20" s="1"/>
  <c r="G140" i="20" a="1"/>
  <c r="G140" i="20" s="1"/>
  <c r="B140" i="20" a="1"/>
  <c r="B140" i="20" s="1"/>
  <c r="J140" i="20" a="1"/>
  <c r="J140" i="20" s="1"/>
  <c r="F140" i="20" a="1"/>
  <c r="F140" i="20" s="1"/>
  <c r="C140" i="20" a="1"/>
  <c r="C140" i="20" s="1"/>
  <c r="E141" i="20" a="1"/>
  <c r="E141" i="20" s="1"/>
  <c r="A250" i="13" l="1" a="1"/>
  <c r="A250" i="13" s="1"/>
  <c r="B250" i="13" s="1" a="1"/>
  <c r="B250" i="13" s="1"/>
  <c r="H249" i="13" a="1"/>
  <c r="H249" i="13" s="1"/>
  <c r="F249" i="13" a="1"/>
  <c r="F249" i="13" s="1"/>
  <c r="G249" i="13" a="1"/>
  <c r="G249" i="13" s="1"/>
  <c r="M141" i="20" a="1"/>
  <c r="M141" i="20" s="1"/>
  <c r="I141" i="20" a="1"/>
  <c r="I141" i="20" s="1"/>
  <c r="D141" i="20" a="1"/>
  <c r="D141" i="20" s="1"/>
  <c r="L141" i="20" a="1"/>
  <c r="L141" i="20" s="1"/>
  <c r="H141" i="20" a="1"/>
  <c r="H141" i="20" s="1"/>
  <c r="F141" i="20" a="1"/>
  <c r="F141" i="20" s="1"/>
  <c r="J141" i="20" a="1"/>
  <c r="J141" i="20" s="1"/>
  <c r="C141" i="20" a="1"/>
  <c r="C141" i="20" s="1"/>
  <c r="A141" i="20" a="1"/>
  <c r="A141" i="20" s="1"/>
  <c r="K141" i="20" a="1"/>
  <c r="K141" i="20" s="1"/>
  <c r="B141" i="20" a="1"/>
  <c r="B141" i="20" s="1"/>
  <c r="G141" i="20" a="1"/>
  <c r="G141" i="20" s="1"/>
  <c r="E142" i="20" a="1"/>
  <c r="E142" i="20" s="1"/>
  <c r="A251" i="13" l="1" a="1"/>
  <c r="A251" i="13" s="1"/>
  <c r="B251" i="13" s="1" a="1"/>
  <c r="B251" i="13" s="1"/>
  <c r="H250" i="13" a="1"/>
  <c r="H250" i="13" s="1"/>
  <c r="F250" i="13" a="1"/>
  <c r="F250" i="13" s="1"/>
  <c r="G250" i="13" a="1"/>
  <c r="G250" i="13" s="1"/>
  <c r="M142" i="20" a="1"/>
  <c r="M142" i="20" s="1"/>
  <c r="J142" i="20" a="1"/>
  <c r="J142" i="20" s="1"/>
  <c r="D142" i="20" a="1"/>
  <c r="D142" i="20" s="1"/>
  <c r="L142" i="20" a="1"/>
  <c r="L142" i="20" s="1"/>
  <c r="C142" i="20" a="1"/>
  <c r="C142" i="20" s="1"/>
  <c r="H142" i="20" a="1"/>
  <c r="H142" i="20" s="1"/>
  <c r="I142" i="20" a="1"/>
  <c r="I142" i="20" s="1"/>
  <c r="B142" i="20" a="1"/>
  <c r="B142" i="20" s="1"/>
  <c r="F142" i="20" a="1"/>
  <c r="F142" i="20" s="1"/>
  <c r="K142" i="20" a="1"/>
  <c r="K142" i="20" s="1"/>
  <c r="G142" i="20" a="1"/>
  <c r="G142" i="20" s="1"/>
  <c r="A142" i="20" a="1"/>
  <c r="A142" i="20" s="1"/>
  <c r="E143" i="20" a="1"/>
  <c r="E143" i="20" s="1"/>
  <c r="A252" i="13" l="1" a="1"/>
  <c r="A252" i="13" s="1"/>
  <c r="B252" i="13" s="1" a="1"/>
  <c r="B252" i="13" s="1"/>
  <c r="H251" i="13" a="1"/>
  <c r="H251" i="13" s="1"/>
  <c r="F251" i="13" a="1"/>
  <c r="F251" i="13" s="1"/>
  <c r="G251" i="13" a="1"/>
  <c r="G251" i="13" s="1"/>
  <c r="M143" i="20" a="1"/>
  <c r="M143" i="20" s="1"/>
  <c r="I143" i="20" a="1"/>
  <c r="I143" i="20" s="1"/>
  <c r="D143" i="20" a="1"/>
  <c r="D143" i="20" s="1"/>
  <c r="L143" i="20" a="1"/>
  <c r="L143" i="20" s="1"/>
  <c r="H143" i="20" a="1"/>
  <c r="H143" i="20" s="1"/>
  <c r="C143" i="20" a="1"/>
  <c r="C143" i="20" s="1"/>
  <c r="K143" i="20" a="1"/>
  <c r="K143" i="20" s="1"/>
  <c r="G143" i="20" a="1"/>
  <c r="G143" i="20" s="1"/>
  <c r="A143" i="20" a="1"/>
  <c r="A143" i="20" s="1"/>
  <c r="F143" i="20" a="1"/>
  <c r="F143" i="20" s="1"/>
  <c r="B143" i="20" a="1"/>
  <c r="B143" i="20" s="1"/>
  <c r="J143" i="20" a="1"/>
  <c r="J143" i="20" s="1"/>
  <c r="E144" i="20" a="1"/>
  <c r="E144" i="20" s="1"/>
  <c r="A253" i="13" l="1" a="1"/>
  <c r="A253" i="13" s="1"/>
  <c r="B253" i="13" s="1" a="1"/>
  <c r="B253" i="13" s="1"/>
  <c r="H252" i="13" a="1"/>
  <c r="H252" i="13" s="1"/>
  <c r="F252" i="13" a="1"/>
  <c r="F252" i="13" s="1"/>
  <c r="G252" i="13" a="1"/>
  <c r="G252" i="13" s="1"/>
  <c r="L144" i="20" a="1"/>
  <c r="L144" i="20" s="1"/>
  <c r="I144" i="20" a="1"/>
  <c r="I144" i="20" s="1"/>
  <c r="D144" i="20" a="1"/>
  <c r="D144" i="20" s="1"/>
  <c r="K144" i="20" a="1"/>
  <c r="K144" i="20" s="1"/>
  <c r="H144" i="20" a="1"/>
  <c r="H144" i="20" s="1"/>
  <c r="B144" i="20" a="1"/>
  <c r="B144" i="20" s="1"/>
  <c r="J144" i="20" a="1"/>
  <c r="J144" i="20" s="1"/>
  <c r="G144" i="20" a="1"/>
  <c r="G144" i="20" s="1"/>
  <c r="C144" i="20" a="1"/>
  <c r="C144" i="20" s="1"/>
  <c r="M144" i="20" a="1"/>
  <c r="M144" i="20" s="1"/>
  <c r="F144" i="20" a="1"/>
  <c r="F144" i="20" s="1"/>
  <c r="A144" i="20" a="1"/>
  <c r="A144" i="20" s="1"/>
  <c r="E145" i="20" a="1"/>
  <c r="E145" i="20" s="1"/>
  <c r="A254" i="13" l="1" a="1"/>
  <c r="A254" i="13" s="1"/>
  <c r="B254" i="13" s="1" a="1"/>
  <c r="B254" i="13" s="1"/>
  <c r="H253" i="13" a="1"/>
  <c r="H253" i="13" s="1"/>
  <c r="F253" i="13" a="1"/>
  <c r="F253" i="13" s="1"/>
  <c r="G253" i="13" a="1"/>
  <c r="G253" i="13" s="1"/>
  <c r="M145" i="20" a="1"/>
  <c r="M145" i="20" s="1"/>
  <c r="J145" i="20" a="1"/>
  <c r="J145" i="20" s="1"/>
  <c r="G145" i="20" a="1"/>
  <c r="G145" i="20" s="1"/>
  <c r="L145" i="20" a="1"/>
  <c r="L145" i="20" s="1"/>
  <c r="C145" i="20" a="1"/>
  <c r="C145" i="20" s="1"/>
  <c r="H145" i="20" a="1"/>
  <c r="H145" i="20" s="1"/>
  <c r="K145" i="20" a="1"/>
  <c r="K145" i="20" s="1"/>
  <c r="B145" i="20" a="1"/>
  <c r="B145" i="20" s="1"/>
  <c r="D145" i="20" a="1"/>
  <c r="D145" i="20" s="1"/>
  <c r="I145" i="20" a="1"/>
  <c r="I145" i="20" s="1"/>
  <c r="A145" i="20" a="1"/>
  <c r="A145" i="20" s="1"/>
  <c r="F145" i="20" a="1"/>
  <c r="F145" i="20" s="1"/>
  <c r="E146" i="20" a="1"/>
  <c r="E146" i="20" s="1"/>
  <c r="H254" i="13" l="1" a="1"/>
  <c r="H254" i="13" s="1"/>
  <c r="A255" i="13" a="1"/>
  <c r="A255" i="13" s="1"/>
  <c r="F254" i="13" a="1"/>
  <c r="F254" i="13" s="1"/>
  <c r="G254" i="13" a="1"/>
  <c r="G254" i="13" s="1"/>
  <c r="M146" i="20" a="1"/>
  <c r="M146" i="20" s="1"/>
  <c r="I146" i="20" a="1"/>
  <c r="I146" i="20" s="1"/>
  <c r="D146" i="20" a="1"/>
  <c r="D146" i="20" s="1"/>
  <c r="L146" i="20" a="1"/>
  <c r="L146" i="20" s="1"/>
  <c r="H146" i="20" a="1"/>
  <c r="H146" i="20" s="1"/>
  <c r="A146" i="20" a="1"/>
  <c r="A146" i="20" s="1"/>
  <c r="K146" i="20" a="1"/>
  <c r="K146" i="20" s="1"/>
  <c r="C146" i="20" a="1"/>
  <c r="C146" i="20" s="1"/>
  <c r="F146" i="20" a="1"/>
  <c r="F146" i="20" s="1"/>
  <c r="J146" i="20" a="1"/>
  <c r="J146" i="20" s="1"/>
  <c r="G146" i="20" a="1"/>
  <c r="G146" i="20" s="1"/>
  <c r="B146" i="20" a="1"/>
  <c r="B146" i="20" s="1"/>
  <c r="E147" i="20" a="1"/>
  <c r="E147" i="20" s="1"/>
  <c r="G255" i="13" l="1" a="1"/>
  <c r="G255" i="13" s="1"/>
  <c r="F255" i="13" a="1"/>
  <c r="F255" i="13" s="1"/>
  <c r="H255" i="13" a="1"/>
  <c r="H255" i="13" s="1"/>
  <c r="B255" i="13" a="1"/>
  <c r="B255" i="13" s="1"/>
  <c r="M147" i="20" a="1"/>
  <c r="M147" i="20" s="1"/>
  <c r="H147" i="20" a="1"/>
  <c r="H147" i="20" s="1"/>
  <c r="I147" i="20" a="1"/>
  <c r="I147" i="20" s="1"/>
  <c r="L147" i="20" a="1"/>
  <c r="L147" i="20" s="1"/>
  <c r="G147" i="20" a="1"/>
  <c r="G147" i="20" s="1"/>
  <c r="B147" i="20" a="1"/>
  <c r="B147" i="20" s="1"/>
  <c r="K147" i="20" a="1"/>
  <c r="K147" i="20" s="1"/>
  <c r="F147" i="20" a="1"/>
  <c r="F147" i="20" s="1"/>
  <c r="A147" i="20" a="1"/>
  <c r="A147" i="20" s="1"/>
  <c r="J147" i="20" a="1"/>
  <c r="J147" i="20" s="1"/>
  <c r="D147" i="20" a="1"/>
  <c r="D147" i="20" s="1"/>
  <c r="C147" i="20" a="1"/>
  <c r="C147" i="20" s="1"/>
  <c r="E148" i="20" a="1"/>
  <c r="E148" i="20" s="1"/>
  <c r="L148" i="20" l="1" a="1"/>
  <c r="L148" i="20" s="1"/>
  <c r="M148" i="20" a="1"/>
  <c r="M148" i="20" s="1"/>
  <c r="D148" i="20" a="1"/>
  <c r="D148" i="20" s="1"/>
  <c r="K148" i="20" a="1"/>
  <c r="K148" i="20" s="1"/>
  <c r="H148" i="20" a="1"/>
  <c r="H148" i="20" s="1"/>
  <c r="C148" i="20" a="1"/>
  <c r="C148" i="20" s="1"/>
  <c r="J148" i="20" a="1"/>
  <c r="J148" i="20" s="1"/>
  <c r="G148" i="20" a="1"/>
  <c r="G148" i="20" s="1"/>
  <c r="B148" i="20" a="1"/>
  <c r="B148" i="20" s="1"/>
  <c r="I148" i="20" a="1"/>
  <c r="I148" i="20" s="1"/>
  <c r="F148" i="20" a="1"/>
  <c r="F148" i="20" s="1"/>
  <c r="A148" i="20" a="1"/>
  <c r="A148" i="20" s="1"/>
  <c r="L24" i="12"/>
  <c r="K24" i="12"/>
  <c r="K30" i="12" s="1"/>
  <c r="J24" i="12"/>
  <c r="D24" i="12"/>
  <c r="F24" i="12" s="1"/>
  <c r="E24" i="12"/>
  <c r="G24" i="12" s="1"/>
  <c r="C24" i="12"/>
  <c r="B24" i="12"/>
  <c r="H24" i="12"/>
  <c r="I24" i="12"/>
  <c r="C25" i="12" l="1"/>
  <c r="K25" i="12"/>
  <c r="H25" i="12"/>
  <c r="L25" i="12"/>
  <c r="D25" i="12"/>
  <c r="F25" i="12" s="1"/>
  <c r="B25" i="12"/>
  <c r="J25" i="12"/>
  <c r="I25" i="12"/>
  <c r="E25" i="12"/>
  <c r="G25" i="12" s="1"/>
  <c r="J26" i="12" l="1"/>
  <c r="K26" i="12"/>
  <c r="D26" i="12"/>
  <c r="F26" i="12" s="1"/>
  <c r="I26" i="12"/>
  <c r="C26" i="12"/>
  <c r="B26" i="12"/>
  <c r="L26" i="12"/>
  <c r="H26" i="12"/>
  <c r="E26" i="12"/>
  <c r="G26" i="12" s="1"/>
  <c r="L27" i="12"/>
  <c r="C27" i="12"/>
  <c r="I27" i="12"/>
  <c r="D27" i="12"/>
  <c r="F27" i="12" s="1"/>
  <c r="J27" i="12"/>
  <c r="K27" i="12"/>
  <c r="H27" i="12"/>
  <c r="B27" i="12"/>
  <c r="E27" i="12"/>
  <c r="G27" i="12" s="1"/>
  <c r="C28" i="12" l="1"/>
  <c r="B28" i="12"/>
  <c r="J28" i="12"/>
  <c r="H28" i="12"/>
  <c r="K28" i="12"/>
  <c r="E28" i="12"/>
  <c r="G28" i="12" s="1"/>
  <c r="D28" i="12"/>
  <c r="F28" i="12" s="1"/>
  <c r="I28" i="12"/>
  <c r="L28" i="12"/>
  <c r="H29" i="12" l="1"/>
  <c r="I30" i="12" s="1"/>
  <c r="B29" i="12"/>
  <c r="B30" i="12" s="1"/>
  <c r="I29" i="12"/>
  <c r="K29" i="12"/>
  <c r="L29" i="12"/>
  <c r="C29" i="12"/>
  <c r="C30" i="12" s="1"/>
  <c r="D29" i="12"/>
  <c r="F29" i="12" s="1"/>
  <c r="J29" i="12"/>
  <c r="J30" i="12" s="1"/>
  <c r="E29" i="12"/>
  <c r="H30" i="12" l="1"/>
  <c r="E30" i="12"/>
  <c r="G30" i="12" s="1"/>
  <c r="G29" i="12"/>
  <c r="D30" i="12"/>
  <c r="F30"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Joan Cotxà Pagans</author>
  </authors>
  <commentList>
    <comment ref="A7" authorId="0" shapeId="0" xr:uid="{00000000-0006-0000-0000-000001000000}">
      <text>
        <r>
          <rPr>
            <b/>
            <sz val="9"/>
            <color indexed="81"/>
            <rFont val="Tahoma"/>
            <family val="2"/>
          </rPr>
          <t>Fase 1:</t>
        </r>
        <r>
          <rPr>
            <sz val="9"/>
            <color indexed="81"/>
            <rFont val="Tahoma"/>
            <family val="2"/>
          </rPr>
          <t xml:space="preserve"> Ítems legalment obligatoris* i automàtics
</t>
        </r>
        <r>
          <rPr>
            <b/>
            <sz val="9"/>
            <color indexed="81"/>
            <rFont val="Tahoma"/>
            <family val="2"/>
          </rPr>
          <t>Fase 2:</t>
        </r>
        <r>
          <rPr>
            <sz val="9"/>
            <color indexed="81"/>
            <rFont val="Tahoma"/>
            <family val="2"/>
          </rPr>
          <t xml:space="preserve"> Ítems legalment obligatoris, avaluats pel Síndic de Greuges i manuals estructurats
</t>
        </r>
        <r>
          <rPr>
            <b/>
            <sz val="9"/>
            <color indexed="81"/>
            <rFont val="Tahoma"/>
            <family val="2"/>
          </rPr>
          <t>Fase 3:</t>
        </r>
        <r>
          <rPr>
            <sz val="9"/>
            <color indexed="81"/>
            <rFont val="Tahoma"/>
            <family val="2"/>
          </rPr>
          <t xml:space="preserve"> Ítems legalment obligatoris i manuals descriptius
</t>
        </r>
        <r>
          <rPr>
            <b/>
            <sz val="9"/>
            <color indexed="81"/>
            <rFont val="Tahoma"/>
            <family val="2"/>
          </rPr>
          <t>Fase 4:</t>
        </r>
        <r>
          <rPr>
            <sz val="9"/>
            <color indexed="81"/>
            <rFont val="Tahoma"/>
            <family val="2"/>
          </rPr>
          <t xml:space="preserve"> Ítems legalment obligatoris, manuals estructurats, no avaluats pel Síndic de Greuges
</t>
        </r>
        <r>
          <rPr>
            <b/>
            <sz val="9"/>
            <color indexed="81"/>
            <rFont val="Tahoma"/>
            <family val="2"/>
          </rPr>
          <t>Fase 5:</t>
        </r>
        <r>
          <rPr>
            <sz val="9"/>
            <color indexed="81"/>
            <rFont val="Tahoma"/>
            <family val="2"/>
          </rPr>
          <t xml:space="preserve"> Ítems que no són legalment obligatoris</t>
        </r>
      </text>
    </comment>
    <comment ref="B7" authorId="0" shapeId="0" xr:uid="{00000000-0006-0000-0000-000002000000}">
      <text>
        <r>
          <rPr>
            <b/>
            <sz val="9"/>
            <color indexed="81"/>
            <rFont val="Tahoma"/>
            <family val="2"/>
          </rPr>
          <t>Fase 1:</t>
        </r>
        <r>
          <rPr>
            <sz val="9"/>
            <color indexed="81"/>
            <rFont val="Tahoma"/>
            <family val="2"/>
          </rPr>
          <t xml:space="preserve"> Ítems legalment obligatoris* i automàtics
</t>
        </r>
        <r>
          <rPr>
            <b/>
            <sz val="9"/>
            <color indexed="81"/>
            <rFont val="Tahoma"/>
            <family val="2"/>
          </rPr>
          <t>Fase 2:</t>
        </r>
        <r>
          <rPr>
            <sz val="9"/>
            <color indexed="81"/>
            <rFont val="Tahoma"/>
            <family val="2"/>
          </rPr>
          <t xml:space="preserve"> Ítems legalment obligatoris, avaluats pel Síndic de Greuges i manuals estructurats
</t>
        </r>
        <r>
          <rPr>
            <b/>
            <sz val="9"/>
            <color indexed="81"/>
            <rFont val="Tahoma"/>
            <family val="2"/>
          </rPr>
          <t>Fase 3:</t>
        </r>
        <r>
          <rPr>
            <sz val="9"/>
            <color indexed="81"/>
            <rFont val="Tahoma"/>
            <family val="2"/>
          </rPr>
          <t xml:space="preserve"> Ítems legalment obligatoris i manuals descriptius
</t>
        </r>
        <r>
          <rPr>
            <b/>
            <sz val="9"/>
            <color indexed="81"/>
            <rFont val="Tahoma"/>
            <family val="2"/>
          </rPr>
          <t>Fase 4:</t>
        </r>
        <r>
          <rPr>
            <sz val="9"/>
            <color indexed="81"/>
            <rFont val="Tahoma"/>
            <family val="2"/>
          </rPr>
          <t xml:space="preserve"> Ítems legalment obligatoris, manuals estructurats, no avaluats pel Síndic de Greuges
</t>
        </r>
        <r>
          <rPr>
            <b/>
            <sz val="9"/>
            <color indexed="81"/>
            <rFont val="Tahoma"/>
            <family val="2"/>
          </rPr>
          <t>Fase 5:</t>
        </r>
        <r>
          <rPr>
            <sz val="9"/>
            <color indexed="81"/>
            <rFont val="Tahoma"/>
            <family val="2"/>
          </rPr>
          <t xml:space="preserve"> Ítems que no són legalment obligatoris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data" description="Conexión a la consulta 'data' en el libro." type="5" refreshedVersion="8" background="1" saveData="1">
    <dbPr connection="Provider=Microsoft.Mashup.OleDb.1;Data Source=$Workbook$;Location=data;Extended Properties=&quot;&quot;" command="SELECT * FROM [data]"/>
  </connection>
  <connection id="2" xr16:uid="{00000000-0015-0000-FFFF-FFFF01000000}" keepAlive="1" name="Consulta - data (2)" description="Conexión a la consulta 'data (2)' en el libro." type="5" refreshedVersion="8" background="1" saveData="1">
    <dbPr connection="Provider=Microsoft.Mashup.OleDb.1;Data Source=$Workbook$;Location=&quot;data (2)&quot;;Extended Properties=&quot;&quot;" command="SELECT * FROM [data (2)]"/>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<sst xmlns="http://schemas.openxmlformats.org/spreadsheetml/2006/main" count="4829" uniqueCount="1234">
  <si>
    <t>Decret 8/2021</t>
  </si>
  <si>
    <t>Observacions a la normativa</t>
  </si>
  <si>
    <t>Acció de govern i normativa</t>
  </si>
  <si>
    <t>Acció de govern i grups polítics</t>
  </si>
  <si>
    <t>Acords de junta de govern</t>
  </si>
  <si>
    <t>2.1.2</t>
  </si>
  <si>
    <t>Manual (amb proposta de camps estructurats) (M)</t>
  </si>
  <si>
    <t>En disposar de noves dades, o per defecte trimestralment</t>
  </si>
  <si>
    <t>Article 10. Apartat 1. Punt a.</t>
  </si>
  <si>
    <t>Article 46</t>
  </si>
  <si>
    <t>https://municat.gencat.cat/ca/Temes/Transparencia/Items-de-transparencia/2.1.2.Acords-junta-govern</t>
  </si>
  <si>
    <t>Acords d'òrgans de govern</t>
  </si>
  <si>
    <t>https://suport-governobert.aoc.cat/hc/ca/articles/13363503104157-Qu%C3%A8-ha-d-incloure-l-%C3%ADtem-Acords-dels-%C3%B2rgans-de-govern-</t>
  </si>
  <si>
    <t>Actes administratius amb incidència al domini públic i als serveis públics</t>
  </si>
  <si>
    <t>2.1.6</t>
  </si>
  <si>
    <t>Article 10. Apartat 1. Punt f.</t>
  </si>
  <si>
    <t>Articles: 36, 37 i 38</t>
  </si>
  <si>
    <t>https://municat.gencat.cat/ca/Temes/Transparencia/Items-de-transparencia/2.1.6.Actes-administratius-incidencia-domini-public</t>
  </si>
  <si>
    <t>Actes de ple</t>
  </si>
  <si>
    <t>2.1.1</t>
  </si>
  <si>
    <t>Automàtic amb dades obertes (A)</t>
  </si>
  <si>
    <t>https://municat.gencat.cat/ca/Temes/Transparencia/Items-de-transparencia/2.1.1.Actes-ple</t>
  </si>
  <si>
    <t>Actes objecte de revisió en via administrativa</t>
  </si>
  <si>
    <t>2.1.7</t>
  </si>
  <si>
    <t>Manual (amb camp descriptiu) (M*)</t>
  </si>
  <si>
    <t>Article 10. Apartat 1. Punt g.</t>
  </si>
  <si>
    <t>Article 39</t>
  </si>
  <si>
    <t>https://municat.gencat.cat/ca/Temes/Transparencia/Items-de-transparencia/2.1.7.Actes-revisio-via-administrativa</t>
  </si>
  <si>
    <t>Informació institucional i organitzativa</t>
  </si>
  <si>
    <t>Informació institucional</t>
  </si>
  <si>
    <t>Agenda d'activitats</t>
  </si>
  <si>
    <t>1.1.6</t>
  </si>
  <si>
    <t>En disposar de noves dades, o per defecte setmanalment</t>
  </si>
  <si>
    <t>La publicitat d'aquest ítem esdevé una recomanació de publicitat activa per part de la XGOC</t>
  </si>
  <si>
    <t>https://municat.gencat.cat/ca/Temes/Transparencia/Items-de-transparencia/1.1.6.Agenda-Activitats</t>
  </si>
  <si>
    <t>Participació</t>
  </si>
  <si>
    <t>Agenda i activitats de les associacions</t>
  </si>
  <si>
    <t>6.1.8</t>
  </si>
  <si>
    <t>Article: 55.1 c)</t>
  </si>
  <si>
    <t>https://municat.gencat.cat/ca/Temes/Transparencia/Items-de-transparencia/6.1.8.Agenda-activitats-associacions</t>
  </si>
  <si>
    <t>Agenda institucional dels alts càrrecs i personal directiu</t>
  </si>
  <si>
    <t>1.1.5</t>
  </si>
  <si>
    <t>En disposar de noves dades, o per defecte mensualment</t>
  </si>
  <si>
    <t>Article 55. Apartat 1. Punt c.</t>
  </si>
  <si>
    <t>Article 33</t>
  </si>
  <si>
    <t>Contractes, convenis i subvencions</t>
  </si>
  <si>
    <t>Convenis i subvencions</t>
  </si>
  <si>
    <t>Ajuts atorgats</t>
  </si>
  <si>
    <t>3.3.6</t>
  </si>
  <si>
    <t>Article 15. Apartat 1. Punt c.</t>
  </si>
  <si>
    <t>https://municat.gencat.cat/ca/Temes/Transparencia/Items-de-transparencia/3.3.6.Ajuts-atorgats</t>
  </si>
  <si>
    <t>Empleats públics</t>
  </si>
  <si>
    <t>Alliberats sindicals</t>
  </si>
  <si>
    <t>1.3.11</t>
  </si>
  <si>
    <t>En disposar de noves dades, o per defecte anualment</t>
  </si>
  <si>
    <t>Article 9. Apartat 2.</t>
  </si>
  <si>
    <t>Article 24</t>
  </si>
  <si>
    <t>https://municat.gencat.cat/ca/Temes/Transparencia/Items-de-transparencia/1.3.11.Alliberats-sindicals</t>
  </si>
  <si>
    <t>Organització política i retribucions</t>
  </si>
  <si>
    <t>Alts càrrecs, personal directiu i càrrecs eventuals</t>
  </si>
  <si>
    <t>1.2.5</t>
  </si>
  <si>
    <t>Article 9, 11. Apartat 1. Punt b, c.</t>
  </si>
  <si>
    <t>Articles 28 i 31</t>
  </si>
  <si>
    <t>https://municat.gencat.cat/ca/Temes/Transparencia/Items-de-transparencia/1.2.5.Alts-carrecs-i-carrecs-eventuals</t>
  </si>
  <si>
    <t>Serveis i tràmits</t>
  </si>
  <si>
    <t>Serveis</t>
  </si>
  <si>
    <t>Atenció ciutadana</t>
  </si>
  <si>
    <t>5.2.1</t>
  </si>
  <si>
    <t>Article 9. Apartat 11. Punt l.</t>
  </si>
  <si>
    <t>https://municat.gencat.cat/ca/Temes/Transparencia/Items-de-transparencia/5.2.1.Atencio-ciutadana</t>
  </si>
  <si>
    <t>Gestió econòmica</t>
  </si>
  <si>
    <t>Auditories de comptes</t>
  </si>
  <si>
    <t>4.2.3</t>
  </si>
  <si>
    <t>Article 11. Apartat 1. Punt c.</t>
  </si>
  <si>
    <t>https://municat.gencat.cat/ca/Temes/Transparencia/Items-de-transparencia/4.2.3.Auditories-de-comptes</t>
  </si>
  <si>
    <t>Normativa, plans i programes</t>
  </si>
  <si>
    <t>Avaluació de l'aplicació de les normes</t>
  </si>
  <si>
    <t>2.2.7</t>
  </si>
  <si>
    <t>https://municat.gencat.cat/ca/Temes/Transparencia/Items-de-transparencia/2.2.7.Avaluacio-aplicacio-de-normes</t>
  </si>
  <si>
    <t>Estat dels serveis</t>
  </si>
  <si>
    <t>Avaluacions de les polítiques públiques</t>
  </si>
  <si>
    <t>5.3.5</t>
  </si>
  <si>
    <t>Article 9. Apartat 1. Punt j.</t>
  </si>
  <si>
    <t>Article 6. Apartat 2.</t>
  </si>
  <si>
    <t>https://municat.gencat.cat/ca/Temes/Transparencia/Items-de-transparencia/5.3.5.Avaluacions-politiques-publiques</t>
  </si>
  <si>
    <t>Avaluacions de qualitat dels serveis públics</t>
  </si>
  <si>
    <t>5.3.6</t>
  </si>
  <si>
    <t>Article 12. Apartat 1.</t>
  </si>
  <si>
    <t>https://municat.gencat.cat/ca/Temes/Transparencia/Items-de-transparencia/5.3.6.Avaluacions-qualitat-serveis-publics</t>
  </si>
  <si>
    <t>Gestió documental i arxiu</t>
  </si>
  <si>
    <t>Calendari de conservació i règim d'accés documental</t>
  </si>
  <si>
    <t>2.4.1</t>
  </si>
  <si>
    <t>Article: 19</t>
  </si>
  <si>
    <t>https://municat.gencat.cat/ca/Temes/Transparencia/Items-de-transparencia/2.4.1.Calendari-conservacio-regim-acces-documental</t>
  </si>
  <si>
    <t>Calendari dies inhàbils</t>
  </si>
  <si>
    <t>5.2.2</t>
  </si>
  <si>
    <t>Automàtic amb redirecció (A*)</t>
  </si>
  <si>
    <t>La publicitat d'aquest ítem esdevé una recomanació de publicitat activa per part de la XGOC, basada en Lei 39/15 i 40/15</t>
  </si>
  <si>
    <t>https://municat.gencat.cat/ca/Temes/Transparencia/Items-de-transparencia/5.2.2.Calendari-dies-inhabils</t>
  </si>
  <si>
    <t>Calendari i padrons fiscals</t>
  </si>
  <si>
    <t>2.2.10</t>
  </si>
  <si>
    <t>https://municat.gencat.cat/ca/Temes/Transparencia/Items-de-transparencia/2.2.10.Calendari-i-padrons-fiscals</t>
  </si>
  <si>
    <t>Càrrecs electes</t>
  </si>
  <si>
    <t>1.2.2</t>
  </si>
  <si>
    <t>Article 9. Apartat 1. Punt b.</t>
  </si>
  <si>
    <t>Article 28</t>
  </si>
  <si>
    <t>https://municat.gencat.cat/ca/Temes/Transparencia/Items-de-transparencia/1.2.2.Carrecs-electes</t>
  </si>
  <si>
    <t>Cartipàs: organització política</t>
  </si>
  <si>
    <t>1.2.1</t>
  </si>
  <si>
    <t>Article 9. Apartat 1. Punt a, b.</t>
  </si>
  <si>
    <t>https://municat.gencat.cat/ca/Temes/Transparencia/Items-de-transparencia/1.2.1.Cartipas-organitzacio-politica</t>
  </si>
  <si>
    <t>Tràmits</t>
  </si>
  <si>
    <t>Catàleg de dades i documents interoperables</t>
  </si>
  <si>
    <t>5.1.9</t>
  </si>
  <si>
    <t>La publicitat d'aquest ítem esdevé una recomanació de publicitat activa per part de la XGOC, basada en article 67 de la LTC</t>
  </si>
  <si>
    <t>https://municat.gencat.cat/ca/Temes/Transparencia/Items-de-transparencia/5.1.9.Cataleg-dades-documents-interoperables</t>
  </si>
  <si>
    <t>Catàleg de tràmits i procediments</t>
  </si>
  <si>
    <t>5.1.8</t>
  </si>
  <si>
    <t>Article 10. Apartat 1. Punt e.</t>
  </si>
  <si>
    <t>Article: 35 </t>
  </si>
  <si>
    <t>https://municat.gencat.cat/ca/Temes/Transparencia/Items-de-transparencia/5.1.8.Cataleg-tramits-procediments</t>
  </si>
  <si>
    <t>Catàleg i cartes de serveis</t>
  </si>
  <si>
    <t>5.2.3</t>
  </si>
  <si>
    <t>https://municat.gencat.cat/ca/Temes/Transparencia/Items-de-transparencia/5.2.3.Cataleg-cartes-serveis</t>
  </si>
  <si>
    <t>Codi de conducta dels alts càrrecs i de bon govern</t>
  </si>
  <si>
    <t>Article 55. Apartat 3.</t>
  </si>
  <si>
    <t>Codi de conducta dels grups d'interès</t>
  </si>
  <si>
    <t>Article 49. Apartat 1. Punt c.</t>
  </si>
  <si>
    <t>Aquest és un ítem complementari amb el "Registre de Grups d'interès", que permet fer la publicació específica del codi de conducta de l'ens</t>
  </si>
  <si>
    <t>Competències i funcions</t>
  </si>
  <si>
    <t>1.1.1</t>
  </si>
  <si>
    <t>Article 9. Apartat 1. Punt a, c.</t>
  </si>
  <si>
    <t>https://municat.gencat.cat/ca/Temes/Transparencia/Items-de-transparencia/1.1.1.Competencies-i-funcions</t>
  </si>
  <si>
    <t>Pressupost</t>
  </si>
  <si>
    <t>Compliment dels objectius d’estabilitat pressupostària</t>
  </si>
  <si>
    <t>4.1.6</t>
  </si>
  <si>
    <t>Article 11. Apartat 1. Punt a.</t>
  </si>
  <si>
    <t>https://municat.gencat.cat/ca/Temes/Transparencia/Items-de-transparencia/4.1.6.Compliment-objectius-estabilitat-pressupostaria</t>
  </si>
  <si>
    <t>Compte general</t>
  </si>
  <si>
    <t>4.1.4</t>
  </si>
  <si>
    <t>https://municat.gencat.cat/ca/Temes/Transparencia/Items-de-transparencia/4.1.4.Compte-general</t>
  </si>
  <si>
    <t>Consultes més freqüents rebudes pels ciutadans o organitzacions</t>
  </si>
  <si>
    <t>6.1.4</t>
  </si>
  <si>
    <t>Article: 61.3</t>
  </si>
  <si>
    <t>https://municat.gencat.cat/ca/Temes/Transparencia/Items-de-transparencia/6.1.4.Consultes-mes-frequents-rebudes-pels-ciutadans-organitzacions</t>
  </si>
  <si>
    <t>Informació de la contractació pública</t>
  </si>
  <si>
    <t>Consultes més freqüents sobre contractació</t>
  </si>
  <si>
    <t>3.2.5</t>
  </si>
  <si>
    <t>Article 13. Apartat 1. Punt h.</t>
  </si>
  <si>
    <t>Articles: 43.5</t>
  </si>
  <si>
    <t>https://municat.gencat.cat/ca/Temes/Transparencia/Items-de-transparencia/3.2.5.Consultes-frequents-sobre-contractacio</t>
  </si>
  <si>
    <t>Relació de contractes</t>
  </si>
  <si>
    <t>Contractes programats</t>
  </si>
  <si>
    <t>3.1.2</t>
  </si>
  <si>
    <t>Article 13. Apartat 1. Punt c.</t>
  </si>
  <si>
    <t>Article 43.2</t>
  </si>
  <si>
    <t>https://municat.gencat.cat/ca/Temes/Transparencia/Items-de-transparencia/3.1.2.Contractes-programats</t>
  </si>
  <si>
    <t>Convenis de col·laboració</t>
  </si>
  <si>
    <t>3.3.1</t>
  </si>
  <si>
    <t>Article 14. Apartat 2. Punt a, b.</t>
  </si>
  <si>
    <t>Article 8. Apartat 1. Punt b.</t>
  </si>
  <si>
    <t>Article 44.1</t>
  </si>
  <si>
    <t>https://municat.gencat.cat/ca/Temes/Transparencia/Items-de-transparencia/3.3.1.Convenis-de-colaboracio</t>
  </si>
  <si>
    <t>Convenis urbanístics</t>
  </si>
  <si>
    <t>3.3.2</t>
  </si>
  <si>
    <t>Article 14</t>
  </si>
  <si>
    <t>https://municat.gencat.cat/ca/Temes/Transparencia/Items-de-transparencia/3.3.2.Convenis-urbanistics</t>
  </si>
  <si>
    <t>Convenis, acords, pactes de caràcter funcionarial, laboral o sindical</t>
  </si>
  <si>
    <t>1.3.10</t>
  </si>
  <si>
    <t>Article 9. Apartat 1. Punt i.</t>
  </si>
  <si>
    <t>Article 23</t>
  </si>
  <si>
    <t>https://municat.gencat.cat/ca/Temes/Transparencia/Items-de-transparencia/1.3.10.Convenis-funcionarials-laborals-sindicals</t>
  </si>
  <si>
    <t>Convocatòries de personal</t>
  </si>
  <si>
    <t>1.3.7</t>
  </si>
  <si>
    <t>Article 9. Apartat 1. Punt e.</t>
  </si>
  <si>
    <t>https://municat.gencat.cat/ca/Temes/Transparencia/Items-de-transparencia/1.3.7.Convocatories-personal</t>
  </si>
  <si>
    <t>Convocatòries de sessions del ple</t>
  </si>
  <si>
    <t>2.1.5</t>
  </si>
  <si>
    <t>https://municat.gencat.cat/ca/Temes/Transparencia/Items-de-transparencia/2.1.5.Convocatories-sessions-ple</t>
  </si>
  <si>
    <t>Convocatòries de subvencions i ajuts</t>
  </si>
  <si>
    <t>3.3.4</t>
  </si>
  <si>
    <t>Article 15. Apartat 1. Punt a i b.</t>
  </si>
  <si>
    <t>https://municat.gencat.cat/ca/Temes/Transparencia/Items-de-transparencia/3.3.4.Convocatories-subvencions-ajuts</t>
  </si>
  <si>
    <t>Cost efectiu dels serveis</t>
  </si>
  <si>
    <t>4.2.5</t>
  </si>
  <si>
    <t>La publicitat d'aquest ítem esdevé una recomanació de publicitat activa per part de la XGOC, basada en LRBRL (art. 116 ter)</t>
  </si>
  <si>
    <t>https://municat.gencat.cat/ca/Temes/Transparencia/Items-de-transparencia/4.2.5.Cost-efectiu-serveis</t>
  </si>
  <si>
    <t>Criteris interpretatius de contractació</t>
  </si>
  <si>
    <t>3.2.4</t>
  </si>
  <si>
    <t>Article 13. Apartat 1. Punt g.</t>
  </si>
  <si>
    <t>Article 43.5 </t>
  </si>
  <si>
    <t>https://municat.gencat.cat/ca/Temes/Transparencia/Items-de-transparencia/3.2.4.Criteris-interpretatius-contractacio</t>
  </si>
  <si>
    <t>Dades estadístiques</t>
  </si>
  <si>
    <t>1.1.10</t>
  </si>
  <si>
    <t>Article 8. Apartat 1. Punt j.</t>
  </si>
  <si>
    <t>https://municat.gencat.cat/ca/Temes/Transparencia/Items-de-transparencia/1.1.10.Dades-estadistiques</t>
  </si>
  <si>
    <t>Dades generals de l'ens</t>
  </si>
  <si>
    <t>1.1.7</t>
  </si>
  <si>
    <t>Article 8. Apartat 1. Punt j, k.</t>
  </si>
  <si>
    <t>https://municat.gencat.cat/ca/Temes/Transparencia/Items-de-transparencia/1.1.7.Dades-generals-ens</t>
  </si>
  <si>
    <t>Protecció de dades personals</t>
  </si>
  <si>
    <t>Delegat/da de Protecció de Dades</t>
  </si>
  <si>
    <t>1.4.1</t>
  </si>
  <si>
    <t>Article 9. Apartat 1. Punt c.</t>
  </si>
  <si>
    <t>https://municat.gencat.cat/ca/Temes/Transparencia/Items-de-transparencia/1.4.1.Delegat-proteccio-dades</t>
  </si>
  <si>
    <t>Dictàmens de la Comissió Jurídica Assessora i altres òrgans consultius</t>
  </si>
  <si>
    <t>2.1.9</t>
  </si>
  <si>
    <t>Article 10. Apartat 1. Punt i.</t>
  </si>
  <si>
    <t>Article 41</t>
  </si>
  <si>
    <t>https://municat.gencat.cat/ca/Temes/Transparencia/Items-de-transparencia/2.1.9.Dictamens-CJA-i-altres-organs-consultius</t>
  </si>
  <si>
    <t>Directives, instruccions, circulars i respostes a consultes sobre les normes</t>
  </si>
  <si>
    <t>2.2.5</t>
  </si>
  <si>
    <t>Article 10. Apartat 1. Punt b.</t>
  </si>
  <si>
    <t>Article 34</t>
  </si>
  <si>
    <t>https://municat.gencat.cat/ca/Temes/Transparencia/Items-de-transparencia/2.2.5.Directives-instruccions-circulars-respostes-a-consultes-sobre-normes</t>
  </si>
  <si>
    <t>Directori d'associacions i entitats</t>
  </si>
  <si>
    <t>6.1.5</t>
  </si>
  <si>
    <t>https://municat.gencat.cat/ca/Temes/Transparencia/Items-de-transparencia/6.1.5.Directori-associacions-entitats</t>
  </si>
  <si>
    <t>5.1.7</t>
  </si>
  <si>
    <t>https://municat.gencat.cat/ca/Temes/Transparencia/Items-de-transparencia/5.1.7.El-meu-espai-personal</t>
  </si>
  <si>
    <t>Endeutament</t>
  </si>
  <si>
    <t>4.2.1</t>
  </si>
  <si>
    <t>Article:11.1 a)</t>
  </si>
  <si>
    <t>Equipaments municipals</t>
  </si>
  <si>
    <t>5.2.4</t>
  </si>
  <si>
    <t>https://municat.gencat.cat/ca/Temes/Transparencia/Items-de-transparencia/5.2.4.Equipaments-municipals</t>
  </si>
  <si>
    <t>Espais de participació ciutadana</t>
  </si>
  <si>
    <t>6.1.1</t>
  </si>
  <si>
    <t>Article 9. Apartat 1. Punt l.</t>
  </si>
  <si>
    <t>https://municat.gencat.cat/ca/Temes/Transparencia/Items-de-transparencia/6.1.1.Espais-participacio-ciutadana</t>
  </si>
  <si>
    <t>Estatuts</t>
  </si>
  <si>
    <t>2.2.1</t>
  </si>
  <si>
    <t>https://municat.gencat.cat/ca/Temes/Transparencia/Items-de-transparencia/2.2.1.Estatuts</t>
  </si>
  <si>
    <t>Urbanisme</t>
  </si>
  <si>
    <t>Estudis d'impacte ambiental i paisatgístic</t>
  </si>
  <si>
    <t>2.3.5</t>
  </si>
  <si>
    <t>La publicitat d'aquest ítem esdevé una recomanació de publicitat activa per part de la XGOC, basada en article 12, apartats 4 i 5 de la LTC</t>
  </si>
  <si>
    <t>https://municat.gencat.cat/ca/Temes/Transparencia/Items-de-transparencia/2.3.5.Estudis-impacte-ambiental-paisagistic</t>
  </si>
  <si>
    <t>Execució pressupostària trimestral</t>
  </si>
  <si>
    <t>4.1.2</t>
  </si>
  <si>
    <t>https://municat.gencat.cat/ca/Temes/Transparencia/Items-de-transparencia/4.1.2.Execucio-pressupostaria-trimestral</t>
  </si>
  <si>
    <t>Exercici dels drets relatius a la protecció de dades personals</t>
  </si>
  <si>
    <t>1.4.2</t>
  </si>
  <si>
    <t>https://municat.gencat.cat/ca/Temes/Transparencia/Items-de-transparencia/1.4.2.Exercici-drets-proteccio-dades</t>
  </si>
  <si>
    <t>Factures electròniques</t>
  </si>
  <si>
    <t>5.1.4</t>
  </si>
  <si>
    <t>La publicitat d'aquest ítem esdevé una recomanació de publicitat activa per part de la XGOC, basada en articles (arts. 1,8.1 b) i 11.1) de la LTC</t>
  </si>
  <si>
    <t>https://municat.gencat.cat/ca/Temes/Transparencia/Items-de-transparencia/5.1.4.Factura-electronica</t>
  </si>
  <si>
    <t>La publicitat d'aquest ítem esdevé una recomanació de publicitat activa per part de la XGOC, basada en llei de simplificació 1/15</t>
  </si>
  <si>
    <t>https://suport-governobert.aoc.cat/hc/ca/articles/13276646197405-Qu%C3%A8-ha-d-incloure-l-%C3%ADtem-de-Finestreta-%C3%9Anica-Empresarial-</t>
  </si>
  <si>
    <t>Gestió tributària</t>
  </si>
  <si>
    <t>5.1.2</t>
  </si>
  <si>
    <t>https://municat.gencat.cat/ca/Temes/Transparencia/Items-de-transparencia/5.1.2.Gestio-tributaria</t>
  </si>
  <si>
    <t>Gestor de representacions</t>
  </si>
  <si>
    <t>5.1.10</t>
  </si>
  <si>
    <t>La publicitat d'aquest ítem esdevé una recomanació de publicitat activa per part de la XGOC, basada en Lei 39/15 (article 6)</t>
  </si>
  <si>
    <t>https://municat.gencat.cat/ca/Temes/Transparencia/Items-de-transparencia/5.1.10.Gestor-de-representacions</t>
  </si>
  <si>
    <t>Grups polítics/municipals</t>
  </si>
  <si>
    <t>1.2.3</t>
  </si>
  <si>
    <t>Article: 9.1.a)</t>
  </si>
  <si>
    <t>https://municat.gencat.cat/ca/Temes/Transparencia/Items-de-transparencia/1.2.3.Grups-politics-municipals</t>
  </si>
  <si>
    <t>Incidències de serveis</t>
  </si>
  <si>
    <t>5.3.1</t>
  </si>
  <si>
    <t>Article: 59 1</t>
  </si>
  <si>
    <t>https://municat.gencat.cat/ca/Temes/Transparencia/Items-de-transparencia/5.3.1.Incidencies-serveis</t>
  </si>
  <si>
    <t>Incidències de trànsit</t>
  </si>
  <si>
    <t>5.3.2</t>
  </si>
  <si>
    <t>La publicitat d'aquest ítem esdevé una recomanació de publicitat activa per part de la XGOC, basada en article 12 de la LTC</t>
  </si>
  <si>
    <t>https://municat.gencat.cat/ca/Temes/Transparencia/Items-de-transparencia/5.3.2.Incidencies-transit</t>
  </si>
  <si>
    <t>Indicadors de gestió econòmica</t>
  </si>
  <si>
    <t>4.2.4</t>
  </si>
  <si>
    <t>https://municat.gencat.cat/ca/Temes/Transparencia/Items-de-transparencia/4.2.4.Indicadors-gestio-economica</t>
  </si>
  <si>
    <t>Indicadors de transparència</t>
  </si>
  <si>
    <t>5.3.7</t>
  </si>
  <si>
    <t>Article 6. Apartat 3.</t>
  </si>
  <si>
    <t>https://municat.gencat.cat/ca/Temes/Transparencia/Items-de-transparencia/5.3.7.Indicadors-transparencia</t>
  </si>
  <si>
    <t>Informació de la contaminació acústica</t>
  </si>
  <si>
    <t>5.3.4</t>
  </si>
  <si>
    <t>https://municat.gencat.cat/ca/Temes/Transparencia/Items-de-transparencia/5.3.4.Informacio-contaminacio-acustica</t>
  </si>
  <si>
    <t>Informació de la contaminació de l'aire</t>
  </si>
  <si>
    <t>5.3.3</t>
  </si>
  <si>
    <t>https://municat.gencat.cat/ca/Temes/Transparencia/Items-de-transparencia/5.3.3.Informacio-contaminacio-aire</t>
  </si>
  <si>
    <t>Informació de les campanyes institucionals</t>
  </si>
  <si>
    <t>4.1.7</t>
  </si>
  <si>
    <t>Article 11. Apartat 1. Punt f.</t>
  </si>
  <si>
    <t>Article 47</t>
  </si>
  <si>
    <t>https://municat.gencat.cat/ca/Temes/Transparencia/Items-de-transparencia/4.1.7.Cost-campanyes-institucionals</t>
  </si>
  <si>
    <t>Informació de l'execució dels convenis</t>
  </si>
  <si>
    <t>3.3.3</t>
  </si>
  <si>
    <t>Article 14. Apartat 2. Punt c.</t>
  </si>
  <si>
    <t>https://municat.gencat.cat/ca/Temes/Transparencia/Items-de-transparencia/3.3.3.Informacio-execucio-convenis</t>
  </si>
  <si>
    <t>Informació del terme municipal</t>
  </si>
  <si>
    <t>1.1.9</t>
  </si>
  <si>
    <t>Article: 8.1.k) d</t>
  </si>
  <si>
    <t>https://municat.gencat.cat/ca/Temes/Transparencia/Items-de-transparencia/1.1.9.Informacio-terme-municipal</t>
  </si>
  <si>
    <t>Informació geogràfica d'urbanisme</t>
  </si>
  <si>
    <t>2.3.3</t>
  </si>
  <si>
    <t>Article 12. Apartat 4.</t>
  </si>
  <si>
    <t>https://municat.gencat.cat/ca/Temes/Transparencia/Items-de-transparencia/2.3.3.Informacio-geografica-urbanisme</t>
  </si>
  <si>
    <t>Informació històrica sobre el municipi</t>
  </si>
  <si>
    <t>1.1.8</t>
  </si>
  <si>
    <t>https://municat.gencat.cat/ca/Temes/Transparencia/Items-de-transparencia/1.1.8.Informacio-historica-sobre-municipi</t>
  </si>
  <si>
    <t>Informació proporcionada per les entitats privades</t>
  </si>
  <si>
    <t>1.1.12</t>
  </si>
  <si>
    <t>Articles 9 i 10</t>
  </si>
  <si>
    <t>https://municat.gencat.cat/ca/Temes/Transparencia/Items-de-transparencia/1.1.12-Informacioproporcionada-per-entitats-privades</t>
  </si>
  <si>
    <t>Patrimoni</t>
  </si>
  <si>
    <t>Informació relativa a la gestió del patrimoni</t>
  </si>
  <si>
    <t>4.3.4</t>
  </si>
  <si>
    <t>Article 11. Apartat 2. Punt b.</t>
  </si>
  <si>
    <t>Article 48 </t>
  </si>
  <si>
    <t>https://municat.gencat.cat/ca/Temes/Transparencia/Items-de-transparencia/4.3.4.Informacio-gestio-patrimoni</t>
  </si>
  <si>
    <t>Informe de contractes adjudicats segons el procediment</t>
  </si>
  <si>
    <t>3.2.7</t>
  </si>
  <si>
    <t>Article 13. Apartat 3.</t>
  </si>
  <si>
    <t>Article 43.7 </t>
  </si>
  <si>
    <t>https://municat.gencat.cat/ca/Temes/Transparencia/Items-de-transparencia/3.2.7.Informe-contractes-adjudicats-segons-procediment</t>
  </si>
  <si>
    <t>Instància genèrica</t>
  </si>
  <si>
    <t>5.1.1</t>
  </si>
  <si>
    <t>https://municat.gencat.cat/ca/Temes/Transparencia/Items-de-transparencia/5.1.1.Instancia-generica</t>
  </si>
  <si>
    <t>Instruments de descripció documental</t>
  </si>
  <si>
    <t>2.4.3</t>
  </si>
  <si>
    <t>La publicitat d'aquest ítem esdevé una recomanació de publicitat activa per part de la XGOC, basada en la llei 10/2001, de 13 de juliol, d'arxius i gestió de documents article 5.2 i 6.1 apartats c) d) i e) de la LTC</t>
  </si>
  <si>
    <t>https://municat.gencat.cat/ca/Temes/Transparencia/Items-de-transparencia/2.4.3.Instruments-descripcio-documental</t>
  </si>
  <si>
    <t>Inventari de béns mobles de valor històric i artístic</t>
  </si>
  <si>
    <t>4.3.2</t>
  </si>
  <si>
    <t>Article 11. Apartat 2. Punt a.</t>
  </si>
  <si>
    <t>Article: 48.1 </t>
  </si>
  <si>
    <t>https://municat.gencat.cat/ca/Temes/Transparencia/Items-de-transparencia/4.3.2.Inventari-bens-mobles-valor-historic-artistic</t>
  </si>
  <si>
    <t>Inventari de vehicles oficials</t>
  </si>
  <si>
    <t>4.3.3</t>
  </si>
  <si>
    <t>Article 48.1</t>
  </si>
  <si>
    <t>La publicitat d'aquest ítem esdevé una recomanació de publicitat activa per part de la XGOC, basada en articles  1.1.a), 1.2, 8.1.b) i f), 11.1, 13.1 de la LTC</t>
  </si>
  <si>
    <t>https://municat.gencat.cat/ca/Temes/Transparencia/Items-de-transparencia/4.3.3.Inventari-vehicles-oficials</t>
  </si>
  <si>
    <t>Inventari general del patrimoni</t>
  </si>
  <si>
    <t>4.3.1</t>
  </si>
  <si>
    <t>https://municat.gencat.cat/ca/Temes/Transparencia/Items-de-transparencia/4.3.1.Inventari-general-patrimoni</t>
  </si>
  <si>
    <t>Licitacions en tràmit (perfil de contractant)</t>
  </si>
  <si>
    <t>3.1.1</t>
  </si>
  <si>
    <t>Article 13. Apartat 1. Punt b.</t>
  </si>
  <si>
    <t>Articles 13.5 i 43</t>
  </si>
  <si>
    <t>https://municat.gencat.cat/ca/Temes/Transparencia/Items-de-transparencia/3.1.1.Licitacions-en-tramit</t>
  </si>
  <si>
    <t>Liquidació del pressupost</t>
  </si>
  <si>
    <t>4.1.3</t>
  </si>
  <si>
    <t>https://municat.gencat.cat/ca/Temes/Transparencia/Items-de-transparencia/4.1.3.Liquidacio-pressupost</t>
  </si>
  <si>
    <t>Llistes de personal per cada procés de formació i/o promoció</t>
  </si>
  <si>
    <t>1.3.9</t>
  </si>
  <si>
    <t>Article 9. Apartat 1. Punt g.</t>
  </si>
  <si>
    <t>https://municat.gencat.cat/ca/Temes/Transparencia/Items-de-transparencia/1.3.9.Llistes-de-personal-per-cada-proces-formacio-promocio</t>
  </si>
  <si>
    <t>Memòries i documents dels projectes normatius en curs</t>
  </si>
  <si>
    <t>2.2.6</t>
  </si>
  <si>
    <t>Article 10. Apartat 1. Punt d.</t>
  </si>
  <si>
    <t>Article 42</t>
  </si>
  <si>
    <t>https://municat.gencat.cat/ca/Temes/Transparencia/Items-de-transparencia/2.2.6.Memories-documents-projectes-normatius-curs</t>
  </si>
  <si>
    <t>Modificació de pressupostos</t>
  </si>
  <si>
    <t>4.1.5</t>
  </si>
  <si>
    <t>https://municat.gencat.cat/ca/Temes/Transparencia/Items-de-transparencia/4.1.5.Modificacio-de-pressupostos</t>
  </si>
  <si>
    <t>Modificacions de contractes</t>
  </si>
  <si>
    <t>3.1.5</t>
  </si>
  <si>
    <t>Article 13. Apartat 1. Punt e.</t>
  </si>
  <si>
    <t>Article 43.4</t>
  </si>
  <si>
    <t>https://municat.gencat.cat/ca/Temes/Transparencia/Items-de-transparencia/3.1.5.Modificacions-de-contractes</t>
  </si>
  <si>
    <t>Normativa d'urbanisme</t>
  </si>
  <si>
    <t>2.3.1</t>
  </si>
  <si>
    <t>https://municat.gencat.cat/ca/Temes/Transparencia/Items-de-transparencia/2.3.1.Normativa-urbanisme</t>
  </si>
  <si>
    <t>Normativa, reglaments i directrius de participació ciutadana</t>
  </si>
  <si>
    <t>6.1.7</t>
  </si>
  <si>
    <t>La publicitat d'aquest ítem esdevé una recomanació de publicitat activa per part de la XGOC, basada en article 10.1 a) de la LTC</t>
  </si>
  <si>
    <t>https://municat.gencat.cat/ca/Temes/Transparencia/Items-de-transparencia/6.1.7.Normativa-reglaments-directius-participacio-ciutadana</t>
  </si>
  <si>
    <t>Notícies i opinions sobre les actuacions de govern i de l'oposició</t>
  </si>
  <si>
    <t>2.1.10</t>
  </si>
  <si>
    <t>La publicitat d'aquest ítem esdevé una recomanació de publicitat activa per part de la XGOC, basada en articles (arts. 5, 6.1 e) 16.1 i 19.3) de la LTC</t>
  </si>
  <si>
    <t>https://municat.gencat.cat/ca/Temes/Transparencia/Items-de-transparencia/2.1.10.Noticies-i-opinions-sobre-actuacions-govern-i-oposicio</t>
  </si>
  <si>
    <t>Notificacions electròniques</t>
  </si>
  <si>
    <t>5.1.3</t>
  </si>
  <si>
    <t>https://municat.gencat.cat/ca/Temes/Transparencia/Items-de-transparencia/5.1.3.Notificacions-electroniques</t>
  </si>
  <si>
    <t>Opinions i propostes dels grups municipals</t>
  </si>
  <si>
    <t>2.1.11</t>
  </si>
  <si>
    <t>https://municat.gencat.cat/ca/Temes/Transparencia/Items-de-transparencia/2.1.11.Opinions-i-propostes-dels-grups-politics-municipals</t>
  </si>
  <si>
    <t>Ordenances fiscals</t>
  </si>
  <si>
    <t>2.2.3</t>
  </si>
  <si>
    <t>https://municat.gencat.cat/ca/Temes/Transparencia/Items-de-transparencia/2.2.3.Ordenances-fiscals</t>
  </si>
  <si>
    <t>Ordenances reguladores i reglaments</t>
  </si>
  <si>
    <t>2.2.2</t>
  </si>
  <si>
    <t>https://municat.gencat.cat/ca/Temes/Transparencia/Items-de-transparencia/2.2.2.Ordenances-reguladores-i-reglaments</t>
  </si>
  <si>
    <t>Organigrama de l'ens</t>
  </si>
  <si>
    <t>1.1.2</t>
  </si>
  <si>
    <t>https://municat.gencat.cat/ca/Temes/Transparencia/Items-de-transparencia/1.1.2.Organigrama-ens</t>
  </si>
  <si>
    <t>Organismes dels que forma part</t>
  </si>
  <si>
    <t>1.1.3</t>
  </si>
  <si>
    <t>Article 9. Apartat 1. Punt a.</t>
  </si>
  <si>
    <t>https://municat.gencat.cat/ca/Temes/Transparencia/Items-de-transparencia/1.1.3.Organismes-dependents-o-vinculats</t>
  </si>
  <si>
    <t>Organismes dependents o vinculats</t>
  </si>
  <si>
    <t>Organismes que el formen</t>
  </si>
  <si>
    <t>Article 9. Apartat 1. Punt a i b.</t>
  </si>
  <si>
    <t>Òrgans de contractació</t>
  </si>
  <si>
    <t>3.2.1</t>
  </si>
  <si>
    <t>Article 13. Apartat 1. Punt a.</t>
  </si>
  <si>
    <t>Articles: 13 i 43.1 </t>
  </si>
  <si>
    <t>https://municat.gencat.cat/ca/Temes/Transparencia/Items-de-transparencia/3.2.1.Organs-contractacio</t>
  </si>
  <si>
    <t>Òrgans de govern i funcions</t>
  </si>
  <si>
    <t>1.2.4</t>
  </si>
  <si>
    <t>https://municat.gencat.cat/ca/Temes/Transparencia/Items-de-transparencia/1.2.4.Organs-govern-funcions</t>
  </si>
  <si>
    <t>Període mitjà de Pagament a Proveïdors (PMP)</t>
  </si>
  <si>
    <t>4.2.2</t>
  </si>
  <si>
    <t>Article 11.1 a)</t>
  </si>
  <si>
    <t>https://municat.gencat.cat/ca/Temes/Transparencia/Items-de-transparencia/4.2.2.Termini-pagament-proveidors</t>
  </si>
  <si>
    <t>Personal adscrit pels concessionaris i retribucions</t>
  </si>
  <si>
    <t>3.2.8</t>
  </si>
  <si>
    <t>Article 9. Apartat 1. Punt h.</t>
  </si>
  <si>
    <t>Articles 13 i 43.9</t>
  </si>
  <si>
    <t>https://municat.gencat.cat/ca/Temes/Transparencia/Items-de-transparencia/3.2.8.Personal-adscrit-pels-concessionaris-retribucions</t>
  </si>
  <si>
    <t>Pla anual de control financer</t>
  </si>
  <si>
    <t>4.2.6</t>
  </si>
  <si>
    <t>https://municat.gencat.cat/ca/Temes/Transparencia/Items-de-transparencia/4.2.6.Pla-anual-control-financer</t>
  </si>
  <si>
    <t>Pla anual normatiu</t>
  </si>
  <si>
    <t>2.2.9</t>
  </si>
  <si>
    <t>La publicitat d'aquest ítem esdevé una recomanació de publicitat activa per part de la XGOC, basada en article 132 de la Llei 39/15</t>
  </si>
  <si>
    <t>https://municat.gencat.cat/ca/Temes/Transparencia/Items-de-transparencia/2.2.9.Pla-normatiu</t>
  </si>
  <si>
    <t>Planejament urbanístic</t>
  </si>
  <si>
    <t>2.3.2</t>
  </si>
  <si>
    <t>https://municat.gencat.cat/ca/Temes/Transparencia/Items-de-transparencia/2.3.2.Plantejament-urbanistic</t>
  </si>
  <si>
    <t>Plans i programes destacats sobre les polítiques públiques</t>
  </si>
  <si>
    <t>2.2.8</t>
  </si>
  <si>
    <t>https://municat.gencat.cat/ca/Temes/Transparencia/Items-de-transparencia/2.2.8.Plans-programes-destacats-sobre-politiques-publiques</t>
  </si>
  <si>
    <t>Plans territorials d'urbanisme</t>
  </si>
  <si>
    <t>2.3.4</t>
  </si>
  <si>
    <t>Article 7</t>
  </si>
  <si>
    <t>Article 49.2</t>
  </si>
  <si>
    <t>https://municat.gencat.cat/ca/Temes/Transparencia/Items-de-transparencia/2.3.4.Plans-territorials-urbanisme</t>
  </si>
  <si>
    <t>Plantilla d'empleats públics</t>
  </si>
  <si>
    <t>1.3.1</t>
  </si>
  <si>
    <t>Article 9. Apartat 1. Punt d.</t>
  </si>
  <si>
    <t>Article 20.3</t>
  </si>
  <si>
    <t>https://municat.gencat.cat/ca/Temes/Transparencia/Items-de-transparencia/1.3.1.Plantilla-empleats-publics</t>
  </si>
  <si>
    <t>Plecs de clàusules generals</t>
  </si>
  <si>
    <t>2.2.4</t>
  </si>
  <si>
    <t>https://municat.gencat.cat/ca/Temes/Transparencia/Items-de-transparencia/2.2.4.Plecs-clausules-administratives-generals</t>
  </si>
  <si>
    <t>4.1.1</t>
  </si>
  <si>
    <t>https://municat.gencat.cat/ca/Temes/Transparencia/Items-de-transparencia/4.1.1.Pressupost</t>
  </si>
  <si>
    <t>Processos participatius en tràmit</t>
  </si>
  <si>
    <t>6.1.3</t>
  </si>
  <si>
    <t>https://municat.gencat.cat/ca/Temes/Transparencia/Items-de-transparencia/6.1.3.Processos-participatius-en-tramit</t>
  </si>
  <si>
    <t>Quadre de classificació documental</t>
  </si>
  <si>
    <t>2.4.2</t>
  </si>
  <si>
    <t>La publicitat d'aquest ítem esdevé una recomanació de publicitat activa per part de la XGOC, basada en article 5.2 i 6.1 apartats c) d) i e) de la LTC</t>
  </si>
  <si>
    <t>https://municat.gencat.cat/ca/Temes/Transparencia/Items-de-transparencia/2.4.2.Quadre-classificacio-documental</t>
  </si>
  <si>
    <t>Registre de factures</t>
  </si>
  <si>
    <t>3.1.6</t>
  </si>
  <si>
    <t>https://municat.gencat.cat/ca/Temes/Transparencia/Items-de-transparencia/3.1.6.Registre-de-factures</t>
  </si>
  <si>
    <t>Registre de funcionaris habilitats</t>
  </si>
  <si>
    <t>1.1.11</t>
  </si>
  <si>
    <t>Article 12.2 paràgraf 2n de la Llei 39/2015 d’1 d’octubre, del procediment administratiu comú de les administracions públiques</t>
  </si>
  <si>
    <t>https://municat.gencat.cat/ca/Temes/Transparencia/Items-de-transparencia/1.1.11.Registre-de-funcionaris-habilitats</t>
  </si>
  <si>
    <t>Registre de grups d'interès</t>
  </si>
  <si>
    <t>Registre de les activitats de tractament de dades personals</t>
  </si>
  <si>
    <t>1.4.3</t>
  </si>
  <si>
    <t>Article: 6 bis </t>
  </si>
  <si>
    <t>https://municat.gencat.cat/ca/Temes/Transparencia/Items-de-transparencia/1.4.3.Registre-activitats-tractament-dades-personals</t>
  </si>
  <si>
    <t>Registre de licitadors</t>
  </si>
  <si>
    <t>3.2.2</t>
  </si>
  <si>
    <t>Article 13. Apartat 1. Punt f.</t>
  </si>
  <si>
    <t>https://municat.gencat.cat/ca/Temes/Transparencia/Items-de-transparencia/3.2.2.Registre-de-licitadors</t>
  </si>
  <si>
    <t>Registre d'eliminació de documents</t>
  </si>
  <si>
    <t>2.4.4</t>
  </si>
  <si>
    <t>https://municat.gencat.cat/ca/Temes/Transparencia/Items-de-transparencia/2.4.4.Registre-eliminacio-documents</t>
  </si>
  <si>
    <t>Registre d'empreses classificades</t>
  </si>
  <si>
    <t>3.2.3</t>
  </si>
  <si>
    <t>https://municat.gencat.cat/ca/Temes/Transparencia/Items-de-transparencia/3.2.3.Registre-empreses-classificades</t>
  </si>
  <si>
    <t>3.1.3</t>
  </si>
  <si>
    <t>Article 13. Apartat 1. Punt d.</t>
  </si>
  <si>
    <t>Article 43.3</t>
  </si>
  <si>
    <t>https://municat.gencat.cat/ca/Temes/Transparencia/Items-de-transparencia/3.1.3.Relacio-contractes-adjudicats</t>
  </si>
  <si>
    <t>Relació de contractes menors (històric)</t>
  </si>
  <si>
    <t>3.1.4</t>
  </si>
  <si>
    <t>Article 43.3 </t>
  </si>
  <si>
    <t>https://municat.gencat.cat/ca/Temes/Transparencia/Items-de-transparencia/3.1.4.Relacio-contractes-menors</t>
  </si>
  <si>
    <t>Relació de contractes temporals i d'interinatge</t>
  </si>
  <si>
    <t>1.3.5</t>
  </si>
  <si>
    <t>Article 20.1.b)</t>
  </si>
  <si>
    <t>https://municat.gencat.cat/ca/Temes/Transparencia/Items-de-transparencia/1.3.5.Relacio-contractes-temporals-interinatge</t>
  </si>
  <si>
    <t>Relació de llocs de treball (RLT)</t>
  </si>
  <si>
    <t>1.3.2</t>
  </si>
  <si>
    <t>Article 20</t>
  </si>
  <si>
    <t>https://municat.gencat.cat/ca/Temes/Transparencia/Items-de-transparencia/1.3.2.Relacio-llocs-treball</t>
  </si>
  <si>
    <t>Relació de proveïdors, adjudicataris i/o contractistes</t>
  </si>
  <si>
    <t>3.1.7</t>
  </si>
  <si>
    <t>La publicitat d'aquest ítem esdevé una recomanació de publicitat activa per part de la XGOC, basada en articles 8 i 13 de la LTC</t>
  </si>
  <si>
    <t>https://municat.gencat.cat/ca/Temes/Transparencia/Items-de-transparencia/3.1.7.Relacio-proveidors-adjudicataris-contractistes</t>
  </si>
  <si>
    <t>Relació d'invitacions als alts càrrecs i personal directiu</t>
  </si>
  <si>
    <t>Relació d'obsequis als alts càrrecs i personal directiu</t>
  </si>
  <si>
    <t>Resolucions administratives i judicials rellevants</t>
  </si>
  <si>
    <t>2.1.8</t>
  </si>
  <si>
    <t>Article 10. Apartat 1. Punt h.</t>
  </si>
  <si>
    <t>Article 40</t>
  </si>
  <si>
    <t>https://municat.gencat.cat/ca/Temes/Transparencia/Items-de-transparencia/2.1.8.Resolucions-administratives-i-judicials-rellevants</t>
  </si>
  <si>
    <t>2.1.12</t>
  </si>
  <si>
    <t>Article: 14. Apartat 3. </t>
  </si>
  <si>
    <t>https://municat.gencat.cat/ca/Temes/Transparencia/Items-de-transparencia/2.1.12.Resolucions-de-solicituds-acces-informacio-publica</t>
  </si>
  <si>
    <t>Resolucions de recursos, actes de desistiment, renúncia i resolució de contractes</t>
  </si>
  <si>
    <t>3.2.6</t>
  </si>
  <si>
    <t>Article 13. Apartat 1. Punt i.</t>
  </si>
  <si>
    <t>Articles: 43.6 </t>
  </si>
  <si>
    <t>https://municat.gencat.cat/ca/Temes/Transparencia/Items-de-transparencia/3.2.6.Resolucions-recursos-actes-desistiment-renuncia-resolucio-contractes</t>
  </si>
  <si>
    <t>Resolucions i decrets</t>
  </si>
  <si>
    <t>2.1.3</t>
  </si>
  <si>
    <t>https://municat.gencat.cat/ca/Temes/Transparencia/Items-de-transparencia/2.1.3.Resolucions-i-decrets</t>
  </si>
  <si>
    <t>Resolucions relatives a les declaracions d'activitats, patrimonials i d'interessos dels alts càrrecs i del personal directiu</t>
  </si>
  <si>
    <t>1.2.6</t>
  </si>
  <si>
    <t>Article 11. Apartat 1. Punt d.</t>
  </si>
  <si>
    <t>Article 32</t>
  </si>
  <si>
    <t>https://municat.gencat.cat/ca/Temes/Transparencia/Items-de-transparencia/1.2.6.Resolucions-declaracions-activitats-patrimonials-interessos</t>
  </si>
  <si>
    <t>Resolucions sobre el règim d'incompatibilitats dels alts càrrecs i personal directiu</t>
  </si>
  <si>
    <t>1.2.7</t>
  </si>
  <si>
    <t>Article 9. Apartat 1. Punt m.</t>
  </si>
  <si>
    <t>Article 30</t>
  </si>
  <si>
    <t>https://municat.gencat.cat/ca/Temes/Transparencia/Items-de-transparencia/1.2.7.Resolucions-regim-incompatibilitats-alts-carrecs</t>
  </si>
  <si>
    <t>Resolucions sobre el règim d'incompatibilitats dels empleats públics</t>
  </si>
  <si>
    <t>1.3.12</t>
  </si>
  <si>
    <t>Article 26</t>
  </si>
  <si>
    <t>https://municat.gencat.cat/ca/Temes/Transparencia/Items-de-transparencia/1.3.12.Resolucions-regim-incompatibilitats-empleats-publics</t>
  </si>
  <si>
    <t>Responsable de comunicació/premsa</t>
  </si>
  <si>
    <t>1.3.4</t>
  </si>
  <si>
    <t>https://municat.gencat.cat/ca/Temes/Transparencia/Items-de-transparencia/1.3.4.Responsable-comunicacio-premsa</t>
  </si>
  <si>
    <t>Resultats de les convocatòries de personal</t>
  </si>
  <si>
    <t>1.3.8</t>
  </si>
  <si>
    <t>Article 21</t>
  </si>
  <si>
    <t>https://municat.gencat.cat/ca/Temes/Transparencia/Items-de-transparencia/1.3.8.Resultats-convocatories-personal</t>
  </si>
  <si>
    <t>3.3.7</t>
  </si>
  <si>
    <t>Article 15. Apartat 2.</t>
  </si>
  <si>
    <t>https://municat.gencat.cat/ca/Temes/Transparencia/Items-de-transparencia/3.3.7.Retribucio-directius-beneficiaris-subvencions</t>
  </si>
  <si>
    <t>Retribucions, indemnitzacions i dietes dels empleats públics</t>
  </si>
  <si>
    <t>1.3.6</t>
  </si>
  <si>
    <t>Article 11. Apartat 1. Punt e.</t>
  </si>
  <si>
    <t>Article 25</t>
  </si>
  <si>
    <t>https://municat.gencat.cat/ca/Temes/Transparencia/Items-de-transparencia/1.3.6.Retribucions-empleats-publics</t>
  </si>
  <si>
    <t>Sol·licitud d'accés a la informació pública</t>
  </si>
  <si>
    <t>5.1.5</t>
  </si>
  <si>
    <t>Article: 18 al 44</t>
  </si>
  <si>
    <t>https://municat.gencat.cat/ca/Temes/Transparencia/Items-de-transparencia/5.1.5.Solicitud-acces-informacio-publica</t>
  </si>
  <si>
    <t>Subvencions atorgades</t>
  </si>
  <si>
    <t>3.3.5</t>
  </si>
  <si>
    <t>https://municat.gencat.cat/ca/Temes/Transparencia/Items-de-transparencia/3.3.5.Subvencions-atorgades</t>
  </si>
  <si>
    <t>Suggeriments, queixes i propostes</t>
  </si>
  <si>
    <t>5.1.6</t>
  </si>
  <si>
    <t>https://municat.gencat.cat/ca/Temes/Transparencia/Items-de-transparencia/5.1.6.Proposta-actuacio-millora-suggeriments</t>
  </si>
  <si>
    <t>Tauler d'edictes i anuncis</t>
  </si>
  <si>
    <t>2.1.4</t>
  </si>
  <si>
    <t>Article 10. Apartat 1. Punt c.</t>
  </si>
  <si>
    <t>https://municat.gencat.cat/ca/Temes/Transparencia/Items-de-transparencia/2.1.4.Tauler-edictes-i-anuncis</t>
  </si>
  <si>
    <t>Tècnics de l'ens</t>
  </si>
  <si>
    <t>1.3.3</t>
  </si>
  <si>
    <t>https://municat.gencat.cat/ca/Temes/Transparencia/Items-de-transparencia/1.3.3.Tecnics-de-lens</t>
  </si>
  <si>
    <t>Tipus impositius</t>
  </si>
  <si>
    <t>2.2.11</t>
  </si>
  <si>
    <t>Article: 10.1 a)</t>
  </si>
  <si>
    <t>https://municat.gencat.cat/ca/Temes/Transparencia/Items-de-transparencia/2.2.11.Tipus-impositius</t>
  </si>
  <si>
    <t>Xarxes socials</t>
  </si>
  <si>
    <t>6.1.2</t>
  </si>
  <si>
    <t>https://municat.gencat.cat/ca/Temes/Transparencia/Items-de-transparencia/6.1.2.Xarxes-socials</t>
  </si>
  <si>
    <t>Obligació de la LT de publicitar obligacions legals?</t>
  </si>
  <si>
    <t>Obligació de disposar d'un cartipàs (art 20 LBRL, 48 TRLMRLC, 38 ROF)</t>
  </si>
  <si>
    <t>No tots els municipis tenen ens dependents (art 85.2.a) LBRL)</t>
  </si>
  <si>
    <t>Obligació d'aprovar un codi de conducta (art 55.3 LT)</t>
  </si>
  <si>
    <t>Obligació de disposar d'un registre per l'assistència en l'ús de mitjans electrònics als interessats (art 12.3 LPAC)</t>
  </si>
  <si>
    <t>Obligació que els electes es constitueixin en grups polítics (art 73.3 LBRL, 50 TRLMRLC)</t>
  </si>
  <si>
    <t>No és una obligació de tots els municipis: només els de + de 2.000 hab (art 104bis LBRL) podrien tenir personal eventual</t>
  </si>
  <si>
    <t>Obligació de formular les declaracions (art 75.7 LBRL)</t>
  </si>
  <si>
    <t>Obligagació autoritzar 2es activitats (art 3 Llei 53/84)</t>
  </si>
  <si>
    <t>Obligació legal d'aprovar la plantilla conjuntament amb el Pressupost (art 90 LBRL)</t>
  </si>
  <si>
    <t>Obligació legal de disposar d'una RLT (art 90 LBRL, art 73 TREBEP)</t>
  </si>
  <si>
    <t>Obligació legal de disposar de FHN per exercici de funcions reservades (art 92 bis LBRL) i d'altres (RLT)</t>
  </si>
  <si>
    <t>Obligació legal de publicitat dels processos selectius (principi transparència 55 TREBEP)</t>
  </si>
  <si>
    <t>(no tots els municipis compten amb pactes i/o acords del 38 TREBEP)</t>
  </si>
  <si>
    <t>(no tots els municipis tenen representació unitària ni tenen delegats sindicals amb crèdit horari LOLS)</t>
  </si>
  <si>
    <t>(no tots els municipis tenen empleats que duguin a terme un 2n lloc al sector públic o privat art 3 LI)</t>
  </si>
  <si>
    <t>Obligació legal de designar un DPD (art 34 LOPD)</t>
  </si>
  <si>
    <t>Obligació legal d'informar l'afectat de la possibilitat d'exercici de drets (art 11 LOPD)</t>
  </si>
  <si>
    <t>Obligació legal de disposar d'un RAT (art 31 LOPD)</t>
  </si>
  <si>
    <t>Obligació legal de contractar i de publicitar la contratació (art 132 LCSP)</t>
  </si>
  <si>
    <t>(no tots els municipis estan obligats a aprovar plande contractació, només els SARA, art 28.4 i 134 LCSP)</t>
  </si>
  <si>
    <t>Relació de contractes adjudicats (històric)</t>
  </si>
  <si>
    <t>(no tots els municipis modifiquen els contractes, art 204 i 205 LCSP)</t>
  </si>
  <si>
    <t>Obligació de la 'art. 3 de la Llei 25/2013, de 27 de desembre, d'Impuls a la factura electrònica</t>
  </si>
  <si>
    <t>Obligació derivada de l'obligació de publicar al Perfil Contractant art 63 LCSP</t>
  </si>
  <si>
    <t>OBLIGACIÓ D'ALTRES ENS: RELI, ROLECE</t>
  </si>
  <si>
    <t>(No tots els òrgans de contractació exerceixen la prerrogativa d'interpretar (art 190 LCSP). Es remet a obligacions d'altres ens (JCCP))</t>
  </si>
  <si>
    <t>OBLIGACIÓ D'ALTRES ENS: JCCP</t>
  </si>
  <si>
    <t>(no tots els òrgans de contractació resolen els recursos, o acorden no celebrar contractes)</t>
  </si>
  <si>
    <t>(no hi ha l'obligació d'informar sobre la tipologia contractual, excepte en el supòsit que es dugui a terme la programació de l'activitat contractual)</t>
  </si>
  <si>
    <t>(no hi ha l'obligació  - excepte l'obligació dels contractistes d'informar sobre les condicions de subrogació en contractes de treball art 130 LCSP-</t>
  </si>
  <si>
    <t>Obligació legal de l'article 110.3 de la LPACCat</t>
  </si>
  <si>
    <t>(no tots els municipis aproven convenis urbanístics, art 104 TRLUC)</t>
  </si>
  <si>
    <t>(no tots els municipis executen convenis urbanístics, art 104 TRLUC)</t>
  </si>
  <si>
    <t>(no tots els municipis aproven convocatòries de subvencions i ajuts art 22 LGS)</t>
  </si>
  <si>
    <t>Obligació art 112 LBRL</t>
  </si>
  <si>
    <t>Obligació art 172 i ss TRLHL</t>
  </si>
  <si>
    <t>Obligació art 17 LOESP</t>
  </si>
  <si>
    <t>Obligació art 17 LOSPSF</t>
  </si>
  <si>
    <t>Obligació art 27.5 LOSPF</t>
  </si>
  <si>
    <t>(obligació d'auditar els comptes només en el supòsit que hi hagi soccietats mercantils municipals i/o d'aplicar auditories com a control permanent).</t>
  </si>
  <si>
    <t>Obligació art 116.ter LBRL</t>
  </si>
  <si>
    <t>Obligació art 29 RD 424/2017</t>
  </si>
  <si>
    <t>Obligació art 100 Decret 336/1988, art 32 LPAP</t>
  </si>
  <si>
    <t>tràmit</t>
  </si>
  <si>
    <t xml:space="preserve">El meu espai personal </t>
  </si>
  <si>
    <t>Finestra única empresarial (FUE)</t>
  </si>
  <si>
    <t>Obligació publicitat acords 70 LBRL, art 155 TRLMRLC</t>
  </si>
  <si>
    <t>Obligació publicitat convocatòria òrgans art 155 TRLMRLC</t>
  </si>
  <si>
    <t>OBLIGACIÓ D'ALTRES ENS: DICTAMENS CJA</t>
  </si>
  <si>
    <t>Resolucions de les sol·licituds d’accés a la informació pública</t>
  </si>
  <si>
    <t>(no tots els ens tenen ens instrumentals i obligació de publicar-ne els Estatuts)</t>
  </si>
  <si>
    <t>Obligació ordenances i reglaments 178 TRLMRLC i art 131 LPAC</t>
  </si>
  <si>
    <t>Obligació ordenances i reglaments 178 TRLMRLC i art 131 LPAC i 17 TRLHL</t>
  </si>
  <si>
    <t>Obligació planificar normativa art 132 LPAC</t>
  </si>
  <si>
    <t>Obligació publicitat planejament urbanístic art 8 TRLUC</t>
  </si>
  <si>
    <t>INFORMACIÓ D'ALTRES ENS: GENERALITAT DE CATALUNYA (PLANS SECTORIALS)</t>
  </si>
  <si>
    <t>Obligació de publicitat art 26 Llei 21/2013, d'evaluació ambiental</t>
  </si>
  <si>
    <t>Obligació publicitat art 35 Llei 10/2001, d'arxius i documents</t>
  </si>
  <si>
    <t>Obligació LTC i reglament</t>
  </si>
  <si>
    <t>Sí</t>
  </si>
  <si>
    <t>No</t>
  </si>
  <si>
    <t>Fase 1</t>
  </si>
  <si>
    <t>Fase 2</t>
  </si>
  <si>
    <t>Fase 3</t>
  </si>
  <si>
    <t>Fase 4</t>
  </si>
  <si>
    <t>Fase 5</t>
  </si>
  <si>
    <t>Obligació art 191 TRLHL.</t>
  </si>
  <si>
    <t xml:space="preserve">Obligació art 116 LBRL- </t>
  </si>
  <si>
    <t xml:space="preserve">Obligació art 16 Ordre que desenvolupa LOEPSF. Del cumplimiento de la obligación de suministro de información a la que se refiere este precepto, y en lo que se refiere a los tres primeros trimestres da cada año, quedarían excluidas las Corporaciones Locales de población no superior a 5.000 habitantes, salvo la información mencionada en los apartados 7 y 8 anteriores ( pla de tresoreria i PMP) </t>
  </si>
  <si>
    <t>No compleix</t>
  </si>
  <si>
    <t>Aquest item és obligatori per a tots els ajuntaments i consells comarcals. 
Ha d'estar completat. Per tant, no es pot indicar No Aplica.</t>
  </si>
  <si>
    <t>Anual</t>
  </si>
  <si>
    <t>Tot i que l'ens no tingui , recomanem no indicar NO APLICA, si no informar que l'ens no en disposa.</t>
  </si>
  <si>
    <t>Mensual</t>
  </si>
  <si>
    <t>Trimestral</t>
  </si>
  <si>
    <t>Ha d'estar completat. Per tant, no es pot indicar No Aplica.</t>
  </si>
  <si>
    <t>Semestral</t>
  </si>
  <si>
    <t xml:space="preserve">Aquest item és obligatori per a tots els ajuntaments i consells comarcals. </t>
  </si>
  <si>
    <t>Setmanal</t>
  </si>
  <si>
    <t>Contingut</t>
  </si>
  <si>
    <t>Actualització</t>
  </si>
  <si>
    <t>Reutilització</t>
  </si>
  <si>
    <t>Compleix parcialment</t>
  </si>
  <si>
    <t>Semestral &gt;20.000 hab.
Anual &lt; 20.000 hab.</t>
  </si>
  <si>
    <t>Anual mínim</t>
  </si>
  <si>
    <t>NO OBLIGATORI</t>
  </si>
  <si>
    <t xml:space="preserve">                                                                                                                                                             </t>
  </si>
  <si>
    <t>Bimensual</t>
  </si>
  <si>
    <t>Codi ítem</t>
  </si>
  <si>
    <t>Avaluable</t>
  </si>
  <si>
    <t>Família</t>
  </si>
  <si>
    <t>Subfamília</t>
  </si>
  <si>
    <t>Observacions</t>
  </si>
  <si>
    <t>Grau de compliment</t>
  </si>
  <si>
    <t>% compliment</t>
  </si>
  <si>
    <t>Aplica Ens Local</t>
  </si>
  <si>
    <t>Aplica OAL</t>
  </si>
  <si>
    <t>Aplica EPEL</t>
  </si>
  <si>
    <t>Aplica SOC100%</t>
  </si>
  <si>
    <t>Aplica SOCMIX</t>
  </si>
  <si>
    <t>Aplica CONS</t>
  </si>
  <si>
    <t>Aplica FUND</t>
  </si>
  <si>
    <t>Aplica MANC</t>
  </si>
  <si>
    <t>Situació 1: explicació detallada de les funcions i competències que l'ens té atribuides. L'explicació ha de ser pedagògica i amb llengutge planer i entenedor.
Data actualització: informada i d'acord amb la periodicitat recomanada (any vigent)</t>
  </si>
  <si>
    <t>Situació 1: explicacó de les funcions basada en fer referència als articles de la normativa vigent pels ens locals. 
No es realitza una explicació pedagògica i entenedora.
Data actualització: informada i vigent o informada i/o desactualitzada 1 any
Situació 2: explicació detallada de les funcions i competències que l'ens té atribuides. L'explicació ha de ser pedagògica i amb llengutge planer i entenedor.
Data actualització: informada i però desactualitzada 1 any..</t>
  </si>
  <si>
    <t xml:space="preserve">Situació 1: item no visible.
Situació 2:  item actiu (es visualitza el títol de l'item) però no té contingut  i no s'explica el motiu de la no informació. (és com no tenir visible).
Situació 3: explicació detallada de les funcions i competències que l'ens té atribuides. L'explicació ha de ser pedagògica i amb llengutge planer i entenedor.
Data actualització:informada però desactualitzada més de 2 anys.
Situació 4: el contingut que s'exposa no correspon al contingut de l'item. </t>
  </si>
  <si>
    <t>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d'acord amb la periodicitat recomanada (any vigent)</t>
  </si>
  <si>
    <t>Siutació 1: Publicació de l'organigrama d'estructura interna de l'ens local però on no s'especifica funcions de les unitats que es visualitzen i/o l'estructura.
Data actualització: informada i vigent o informada però desactualitzada 1 any.
Siutació 2: publicació de l'organigrama de l'ens local que ha de contenir la informació sobre l'estructura de l'organització interna de forma clara i precisa i ha d'especificar les funcions genèriques de cadascuna de les unitats de la seva estructura. És un organigrama a nivell tècnic que pot ser amb una visualització gràfica però ha de contenir la informació indicada
Data actualització: informada i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</si>
  <si>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el contingut que s'exposa no correspon al contingut de l'item. </t>
  </si>
  <si>
    <t xml:space="preserve">Situació 1: item connectat automàtic segons AOC amb informació visible.
Data actualització: informada i anual com mostra l'item automàtic
Situació 2: item connectat automàtic segons AOC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item no connectat automàtic segons AOC però l'ens ha redactat la informació indicant informació que disposa seguint els camps establerts a la fitxa Municat.
Data actualització: informada i i d'acord amb periodicitat recomanda  (vigent).
Situació 4: item no connectat com automàtic segons AOC però l'ens ha redactat explicació que no en disposa d'informació que doni resposta a aquest item.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</si>
  <si>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Situació 4: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</si>
  <si>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indicantla informació que disposa seguint els camps establerts a la fitxa Municat.
Data actualització: informada però desactualitzada més de 2 anys.
Situació 4: item no connectat automàtic segons AOC però l'ens ha redirigit a web municipal on es pot consultar la informació de l'ens  seguint els camps establerts a la fitxa Municat.
Data actualització:informada però desactualitzada més de 2 anys.
Situació 5: el contingut que s'exposa no correspon al contingut de l'item. 
</t>
  </si>
  <si>
    <t xml:space="preserve">Situació 1: L'ens facilita el document del codi de conducta dels alts càrrecs i de bon govern aprovat per ple de l'ens. 
Data actualització: informada i d'acord amb periodicitat recomanda  (vigent).
Situació 2: l'ens indica que no disposa de codi de conducta aprovat pel ple .
Data actualització: informada i d'acord amb periodicitat recomanda  (vigent).
</t>
  </si>
  <si>
    <t xml:space="preserve">Situació 1: L'ens facilita el document del codi de conducta dels alts càrrecs i de bon govern aprovat per ple de l'ens. 
Data actualització: informada però desactualitzada 1 any.
Situació 2:  l'ens ha redireccionat a web municipal la informació:  el document del codi de conducta dels alts càrrecs i de bon govern aprovat per ple de l'ens. 
Data actualització: informada i d'acord amb periodicitat recomanda  (vigent).
Situació 3:  l'ens ha redireccionat a web municipal la informació:  el document del codi de conducta dels alts càrrecs i de bon govern aprovat per ple de l'ens. 
Data actualització: informada però desactualitzada 1 any.
</t>
  </si>
  <si>
    <t xml:space="preserve">Situació 1: item no visible.
Situació 2:  item actiu (es visualitza el títol de l'item) però no té contingut  i no s'explica el motiu de la no informació. (és com no tenir visible).
Situació 3: L'ens facilita el document del codi de conducta dels alts càrrecs i de bon govern aprovat per ple de l'ens. 
Data actualització:informada però desactualitzada més de 2 anys.
Situació 4:  l'ens ha redireccionat a web municipal la informació:  el document del codi de conducta dels alts càrrecs i de bon govern aprovat per ple de l'ens.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</si>
  <si>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Situació 1: Publicació de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Dades de les agendes públiques:  
·Data de la reunió 
·Nom del grup d’interès (GI)
·Persones que actuen en nom del GI 
·Objecte de la reunió 
Data actualització: informada i d'acord amb periodicitat recomanda  (vigent).</t>
  </si>
  <si>
    <t xml:space="preserve">Situació 1: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2: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i/o desactualitzada 1 any.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i d'acord amb periodicitat recomanda  (vigent).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 informada però desactualitzada 1 any.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 informada i d'acord amb periodicitat recomanda  (vigent) i /o desactualitzada 1 any.
</t>
  </si>
  <si>
    <t xml:space="preserve">Situació 1: item no visible.
Situació 2:  item actiu (es visualitza el títol de l'item) però no té contingut  i no s'explica el motiu de la no informació. (és com no tenir visible).
Situació 3: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3: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Publicació de l'agenda.
Data actualització:informada però desactualitzada més de 2 anys.
Situació 4:  l'ens ha redireccionat a web municipal la informació:  L'ens fa públiques totes aquelles activitats oficials dels alts càrrecs de les administracions públiques i del personal directiu de les entitats del sector públic, que tinguin una repercussió en el compliment de la missió institucional i, en concret, les reunions amb els grups d’interès. L'enllaç està trencat.
Data actualització:informada però desactualitzada més de 2 anys.
Situació 5:  l'ens ha redireccionat a web municipal la informació:  L'ens fa públiques només les activitats oficials de l'alcalde/alcaldessa i que tinguin una repercussió en el compliment de la missió institucional i, en concret, les reunions amb els grups d’interès. Publicació de l'agenda però manca l'activitat de la resta d'alts càrrecs.
Data actualització:informada però desactualitzada més de 2 anys.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</si>
  <si>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</si>
  <si>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Dades dels obsequis:  el bé o regal acceptat, l’entitat o particular que l’ha lliurat i la seva destinació final.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No facilita fitxer amb dades reutilitzables quan es realitza la relació d'obsequis.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</si>
  <si>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d'obsequis d'acord amb indicacions normativa de transparència.
Data actualització: informada i d'acord amb periodicitat recomanda  (vigent) i/o desactualitzada 1 any en endavant.
Situació 6: el contingut que s'exposa no correspon al contingut de l'item.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</si>
  <si>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i d'acord amb periodicitat recomanda  (vigent).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no utilitzant proposta de camps portal transparència AOC (estructura).
Facilita fitxer amb dades reutilitzables quan es realitza la relació d'obsequis.
Data actualització: informada i d'acord amb periodicitat recomanda  (vigent).
Situació 3: l'ens indica que no hi ha codi de conducta aprovat per l'ens i que, per tant, no consta informació en aquest item.
Data actualització: informada i d'acord amb periodicitat recomanda  (vigent).
</t>
  </si>
  <si>
    <t xml:space="preserve">Situació 1: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Facilita fitxer amb dades reutilitzables quan es realitza la relació d'obsequis.
Data actualització: informada però desactualitzada 1 any.
Situació 2: Quan l'ens té Codi de conducta alts càrrecs aprovat, caldrà fer públics els obsequis percebuts i les invitacions a esdeveniments així com altra informació exigida en el codi de conducta aplicable.   L'ens publica les indicacions del codi de conducta respecte als obsequis i si s'escau, la relació d'aquests percebuts utilitzant proposta de camps portal transparència AOC (estructura) : 
Invitacions a esdeveniments, viatges, desplaçaments i allotjaments: Entitat, el lloc i el motiu de la invitació. 
No facilita fitxer amb dades reutilitzables quan es realitza la relació d'obsequis.
Data actualització: informada i d'acord amb periodicitat recomanda  (vigent) i/o desactualitzada 1 any.
Situació 3: Quan l'ens té Codi de conducta alts càrrecs aprovat, caldrà fer públics els obsequis percebuts i les invitacions a esdeveniments així com altra informació exigida en el codi de conducta aplicable.   L'ens publica les indicacions del codi de conducta respecte les invitacions i si s'escau, la relació d'aquestes rebudes no utilitzant proposta de camps portal transparència AOC (estructura).
No facilita fitxer amb dades reutilitzables quan es realitza la relació d'invitacions.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</si>
  <si>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i amb/sense fitxer reutilitzable.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té Codi de conducta alts càrrecs aprovat on exposa que farà relació d'acord amb el que estableix el codi de conducta però no hi ha cap relació d'invitacions d'acord amb indicacions normativa de transparència.
Data actualització: informada i d'acord amb periodicitat recomanda  (vigent) i/o desactualitzada 1 any en endavant.
Situació 6: el contingut que s'exposa no correspon al contingut de l'item. 
</t>
  </si>
  <si>
    <t>Siutació 1: Informar de l’agenda d’activitats de l’ens. Constarà d’un enllaç a l’apartat web institucional de l’ens -on es pot trobar aquesta informació- o bé un adjunt amb aquesta.
Data actualització: informada i d'acord amb la periodicitat recomanada (any vigent)</t>
  </si>
  <si>
    <t>Siutació 1: Informar de l’agenda d’activitats de l’ens. Constarà d’un enllaç a l’apartat web institucional de l’ens -on es pot trobar aquesta informació- o bé un adjunt amb aquesta.
Data actualització: informada però desactualitzada 1 any.</t>
  </si>
  <si>
    <t xml:space="preserve">Situació 1: item no visible.
Situació 2:  item actiu (es visualitza el títol de l'item) però no té contingut  i no s'explica el motiu de la no informació. (és com no tenir visible).
Situació 3: l'ens ha redactat la informació indicant informació que diposa seguint els camps establerts a la fitxa Municat i/o enllaç propi.
Data actualització:informada però desactualitzada més de 2 anys.
Situació 4: l'ens ha redactat la informació indicant informació que diposa seguint els camps establerts a la fitxa Municat amb enllaç propi però aquest no funciona correctament.
Data actualització: informada i d'acord amb la periodicitat recomanada (any vigent)
Situació 5: el contingut que s'exposa no correspon al contingut de l'item.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</si>
  <si>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</si>
  <si>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Data actualització: informada però desactualitzada 1 any.
Situació 3: item no connectat automàtic segons AOC però l'ens ha redirigit a web municipal on es pot consultar la informació seguint els camps establerts a la fitxa Municat 
Data actualització: informada però desactualitzada 1 any.
</t>
  </si>
  <si>
    <t>La informació històrica sobre el municipi, amb dades que puguin tenir interès per a la ciutadania.Constarà d’un enllaç a l’apartat web institucional de l’ens -on es pot trobar aquesta informació- o bé un adjunt amb aquesta.
Data actualització: informada i d'acord amb la periodicitat recomanada (any vigent)</t>
  </si>
  <si>
    <t>Situació 1: La informació històrica sobre el municipi, amb dades que puguin tenir interès per a la ciutadania.Constarà d’un enllaç a l’apartat web institucional de l’ens -on es pot trobar aquesta informació- o bé un adjunt amb aquesta.
Data actualització:  informada però desactualitzada 1 any.</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</si>
  <si>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Situació 4: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</si>
  <si>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Situació 1: en el cas de les obligacions de les entitats perceptores de subvencions , aquest ítem facilita la informació proporcionada per aquestes entitats privades i que l’administració o entitat del sector públic vinculada o relacionada amb l’entitat privada ha de publicar en un termini màxim de 15 dies després de rebre-la.:— Les activitats directament relacionades amb l’exercici de funcions públiques.
— La gestió de serveis públics.
— La percepció de fons públics.
—Les activitats que pertanyin a l’àmbit de supervisió i control de l’administració en el cas de serveis d’interès general o universal.
— Retribucions que han rebut els càrrecs directius si el volum de negoci de l’empresa vinculat a activitats per compte de l’administració supera el 25 % del volum general de l’empresa.
D’acord amb la normativa reguladora de l’organització administrativa (lleis 39 i 40/2015 i 26/2010, i Decret 203/2021), aquesta informació l’ha de proporcionar l’entitat privada a:
— L’administració titular de les funcions públiques o potestats administratives que exerceixen les entitats privades.
— L’administració titular dels serveis públics que presten les entitats privades.
— L’administració que ha declarat l’interès general o universal dels serveis que presta l’entitat privada i que n’exerceix la supervisió i el control.
— L’administració concedent dels fons públics.
Data actualització: informada i d'acord amb la periodicitat recomanada (any vigent)
Situació 2: l'ens indica que No Aplica en el seu cas i informa que no té ens vinculats.
Data actualització: informada i d'acord amb la periodicitat recomanada (any vigent)</t>
  </si>
  <si>
    <t>Situació 1: l'ens exposa parcialment la informació requerida segons la fitxa Municat
Data actualització: informada i d'acord amb la periodicitat recomanada (any vigent)
Situació 2: l'ens exposa completament la informació requerida segons la fitxa Municat
Data actualització:  informada però desactualitzada 1 any.</t>
  </si>
  <si>
    <t xml:space="preserve">Situació 1: item connectat automàtic segons AOC amb informació visible. S'ha activat el mòdul d'organització política que ofereix el portal i es visualitza l'estructura organitzativa política de l'ens amb àrees, regidories i els electes responsables (amb imatge). Permet accedir a les regidories i consultar les principals funcions, dades de contacte i electe responsable amb accés a la fitxa d'aquest.
Data actualització: informada i anual com mostra l'item automàtic
Situació 2: item no connectat automàtic segons AOC però l'ens ha redirigit a web municipal on exposa la informació indicada segons Municat.
Data actualització: informada i i d'acord amb periodicitat recomanda  (vigent).
</t>
  </si>
  <si>
    <t>Situació 1: item connectat automàtic segons AOC amb informació visible. S'ha activat el mòdul d'organització política que ofereix el portal però es visualitza parcialment : l'estructura organitzativa política de l'ens amb àrees, regidories i els electes responsables (amb imatge), les principals funcions, dades de contacte i electe responsable amb accés a la fitxa d'aquest. Manca informació i/o imatges
Data actualització: informada i d'acord amb periodicitat recomanda com mostra l'item automàtic.
Situació 2: item connectat automàtic segons AOC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 item no connectat automàtic segons AOC però l'ens ha redactat la informació indicat l'estructura organtizativa política amb la informació de regidories i electes responsables seguint la fitxa de Municat.
Data actualització: informada però desactualitzada 1 any.
Situació 4: item no connectat automàtic segons AOC però l'ens ha redirigit a web municipal on exposa la informació indicada segons Municat tot i que manca informació.
Data actualització: informada i i d'acord amb periodicitat recomanda  (vigent).
Situació 5: item no connectat automàtic segons AOC però l'ens ha redirigit a web municipal on exposa la informació indicada segons Municat
Data actualització: informada però desactualitzada 1 any.</t>
  </si>
  <si>
    <t xml:space="preserve">Situació 1: item connectat automàtic segons AOC amb informació visible. S'ha activat el mòdul d'organització política que ofereix el portal i es visualitzala informació dels electes responsables (amb imatge). Permet accedir i consultar les principals funcions, dades de contacte, competències que té l'electe i organs dels que forma part, curriculum i documents de les declaracions d'activitats i bens.
Data actualització: informada i anual com mostra l'item automàtic
Situació 2: item no connectat automàtic segons AOC però l'ens ha redirigit a web municipal on exposa la informació indicada segons Municat.
Data actualització: informada i i d'acord amb periodicitat recomanda  (vigent).
</t>
  </si>
  <si>
    <t>Situació 1: item connectat automàtic segons AOC amb informació visible. S'ha activat el mòdul d'organització política que ofereix el portal però es visualitza parcialment: la informació dels electes responsables (amb imatge). Permet accedir i consultar les principals funcions, dades de contacte, competències que té l'electe i organs dels que forma part, curriculum i documents de les declaracions d'activitats i bens.
Data actualització: informada i d'acord amb periodicitat recomanda com mostra l'item automàtic.
Situació 2: item connectat automàtic segons AOC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1 any.
Situació 4: item no connectat automàtic segons AOC però l'ens ha redirigit a web municipal on exposa la informació indicada segons Municat tot i que manca informació.
Data actualització: informada i i d'acord amb periodicitat recomanda  (vigent).
Situació 5: item no connectat automàtic segons AOC però l'ens ha redirigit a web municipal on exposa la informació indicada segons Municat
Data actualització: informada però desactualitzada 1 any.</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</si>
  <si>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indicat la informació dels electes responsables (amb imatge). Permet accedir i consultar les principals funcions, dades de contacte, competències que té l'electe i organs dels que forma part, curriculum i documents de les declaracions d'activitats i bens. seguint la fitxa de Municat.
Data actualització: informada però desactualitzada més de 2 anys.
Situació 4: item no connectat automàtic segons AOC però l'ens ha redirigit a web municipal on exposa la informació indicada segons Municat.
Data actualització:informada però desactualitzada més de 2 anys.
Situació 5: el contingut que s'exposa no correspon al contingut de l'item. 
</t>
  </si>
  <si>
    <t xml:space="preserve">Situació 1: item connectat automàtic segons AOC amb informació visible. S'ha activat el mòdul d'organització política que ofereix el portal i es visualitza l'estructura organitzativa política de l'ens la informació i imatges dels diferents grups polítics que els composes i dóna accés a consultar les fitxes dels electes de cada grup amb la informació complerta d'aquests.
Data actualització: informada i anual com mostra l'item automàtic
Situació 2: item no connectat automàtic segons AOC però l'ens ha redirigit a web municipal on exposa la informació indicada segons Municat.
Data actualització: informada i i d'acord amb periodicitat recomanda  (vigent).
</t>
  </si>
  <si>
    <t>Situació 1: item connectat automàtic segons AOC amb informació visible. S'ha activat el mòdul d'organització política que ofereix el portal però es visualitza parcialment la informació: composició i imatges dels diferents grups polítics que formen l'ens  i dóna accés a consultar les fitxes dels electes de cada grup amb la informació complerta d'aquests.
Data actualització: informada i d'acord amb periodicitat recomanda com mostra l'item automàtic.
Situació 2: item connectat automàtic segons AOC amb informació visible però no s'ha activat  el mòdul d'organització política que ofereix el portal si no que manté la visualització anterior (gràfica i taula que dona accés a CIDO).
Data actualització: informada i d'acord amb periodicitat recomanda com mostra l'item automàtic
Situació 3: item no connectat automàtic segons AOC però l'ens ha redactat la informació indicat l'estructura organtizativa política amb la informaciódels diferents grups polítics que composen l'ens i els electes que en formen part amb accés a les seves fitxes.
Data actualització: informada però desactualitzada 1 any.
Situació 4: item no connectat automàtic segons AOC però l'ens ha redirigit a web municipal on exposa la informació indicada segons Municat tot i que manca informació.
Data actualització: informada i i d'acord amb periodicitat recomanda  (vigent).
Situació 5: item no connectat automàtic segons AOC però l'ens ha redirigit a web municipal on exposa la informació indicada segons Municat
Data actualització: informada però desactualitzada 1 any.</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</si>
  <si>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indicat l'estructura organtizativa política amb la informaciódels diferents grups polítics que composen l'ens i els electes que en formen part amb accés a les seves fitxes.
Data actualització: informada però desactualitzada més de 2 anys.
Situació 4: item no connectat automàtic segons AOC però l'ens ha redirigit a web municipal on es pot consultar la informació de l'ens  seguint els camps establerts a la fitxa Municat.
Data actualització:informada però desactualitzada més de 2 anys.
Situació 5: el contingut que s'exposa no correspon al contingut de l'item. 
</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</si>
  <si>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t>
  </si>
  <si>
    <t>Situació 1: publicació de la informació relativa als òrgans de govern obligatoris i potestatius, les seves funcions i la identificació de les persones titulars d’aquest òrgans utilitzant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2: l'ens ha redactat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però desactualitzada 1 any.
Situació 3: l'ens ha redactat parcialment (manca informació) la informació relativa als òrgans de govern obligatoris i potestatius, les seves funcions i la identificació de les persones titulars d’aquest òrgans sense utilitzar el mòdul d'organització política que ofereix el portal de transparència de l'AOC on visualitzem la informació completa de:
Òrgan
Funcions
Calendari
Identificació de la persona titular: nom i cognoms, perfil i trajectòria professionals,telèfon i canal electrònic de contate professional, referència de les disposicions mitjançant les quals se les nomena o designa.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</si>
  <si>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(mòdul organització política portal AOC).
Data actualització:informada però desactualitzada més de 2 anys.
Situació 4:  l'ens ha redactat la informació correcta seguint indicacions proposta de camps portal transparència AOC i fitxa Municat (no utilització mòdul organització política portal AOC)
Data actualització:informada però desactualitzada més de 2 anys.
Situació 5: el contingut que s'exposa no correspon al contingut de l'item. 
</t>
  </si>
  <si>
    <t>Situació 1: publicació de la informació relativa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Situació 2: l'ens ha redactat la informació relativa alts càrrecs de les administracions públiques i del personal directiu de les entitats dels sectors públics d'aquestes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t>
  </si>
  <si>
    <t>Situació 1: publicació de la informació relativa als alts càrrecs de les administracions públiques i del personal directiu de les entitats dels sectors públics d'aquestes utilitzant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2: l'ens ha redactat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però desactualitzada 1 any.
Situació 3: l'ens ha redactat parcialment (manca informació) la informació relativa als alts càrrecs de les administracions públiques i del personal directiu de les entitats dels sectors públics sense utilitzar el mòdul d'organització política que ofereix el portal de transparència de l'AOC on visualitzem la informació completa de:
· Una relació dels alts càrrecs de les administracions públiques i del personal directiu de les entitats dels sectors públics d'aquestes.
· La relació dels càrrecs eventuals.
· Les retribucions d'alts càrrecs de les administracions públiques i del personal directiu de les entitats dels sectors públics d'aquestes.
Data actualització: informada i d'acord amb periodicitat recomanda  (vigent) i/o desactualitzada 1 any.</t>
  </si>
  <si>
    <t>Situació 1: publicació de la informació relativa a les declaracions d'activitats, patrimonials i d'interessos dels alts càrrecs utilitzant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Situació 2: l'ens ha redactat la informació relativa a les declaracions d'activitats, patrimonials i d'interessos dels alts càrrecs sense utilitzar el mòdul d'organització política que ofereix el portal de transparència de l'AOC on visualitzem la informació completa de: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t>
  </si>
  <si>
    <t>Situació 1: publicació de la informació relativa  a les declaracions d'activitats, patrimonials i d'interessos dels alts càrrecs utilitzant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2: l'ens ha redactat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però desactualitzada 1 any.
Situació 3: l'ens ha redactat parcialment (manca informació) la informació relativa a les declaracions d'activitats, patrimonials i d'interessos dels alts càrrecs sense utilitzar el mòdul d'organització política que ofereix el portal de transparència de l'AOC on visualitzem la informació completa amb identificació del nom, cognoms i càrrec, la informació relativa a les declaracions d'activitats, patrimonials i d'interessos, dels alts càrrecs de les administracions públiques i del personal directiu de les entitats dels sectors públics d'aquestes.
Les dades a publicar relatives a les declaracions presentades, així com a les seves modificacions, s’han de mantenir publicades: mentre l'alt càrrec i el personal directiu mantingui aquesta condició i durant un termini mínim de sis mesos des de la data del cessament en el càrrec.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</si>
  <si>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</si>
  <si>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i d'acord amb periodicitat recomanda  (vigent).
</t>
  </si>
  <si>
    <t xml:space="preserve">Situació 1: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utilitzant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2: publicació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Quines dades s’han de publicar?
· Nom i cognoms
· Càrrec ocupat
· Departament o entitat on desenvolupa les seves tasques
· Data del seu nomenament o contracte
· Càrrecs electius
· Activitats públiques i privades compatibles
· Àmbit concret d'actuació professional
· Nom o raó social de les empreses o entitats
· Data de la resolució o autorització de la compatibilitat
· Tipus de vinculació amb el càrrec o activitat compatible
· Període de contractació
· Nombre total d'hores de dedicació
· Localització de l'entitat o empresa on es realitza l'activitat secundària
Data actualització: informada però desactualitzada 1 any.
Situació 3: publicació parcial (manca informació) d'un extracte de les resolucions sobre compatibilitats dels seus alts càrrecs i de personal directiu que es trobin inclosos en l'àmbit d'aplicació del règim d'incompatibilitats aplicable en cada cas. S’haurà de publicar únicament un extracte de les resolucions de compatibilitat dictades pels òrgans competents, però no de les resolucions de denegació de la compatibilitat. L'ens publica la informació  sense utilitzar la proposta de camps portal transparència AOC (estructura).
Data actualització: informada i d'acord amb periodicitat recomanda  (vigent) i/o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</si>
  <si>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</si>
  <si>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i facilitant la informació en format reutilitzable.
Data actualització: informada i i d'acord amb periodicitat recomanda  (vigent).
</t>
  </si>
  <si>
    <t xml:space="preserve">Situació 1: item connectat automàtic segons AOC amb informació visible i redirigeix correctament.
Data actualització: informada i anual com mostra l'item automàtic
Situació 2: item no connectat automàtic segons AOC però l'ens ha redactat la informació indicant informació que disposa seguint els camps establerts a la fitxa Municat i en format reutilitzable i / o amb redirecció amb enllaç propi.
Data actualització: informada i i d'acord amb periodicitat recomanda  (vigent).
</t>
  </si>
  <si>
    <t xml:space="preserve">Situació 1: item no connectat automàtic segons AOC però l'ens ha facilitat la informació  seguint els camps establerts a la fitxa Municat  i facilitat en format reutilitable
Data actualització: informada però desactualitzada 1 any.
</t>
  </si>
  <si>
    <t xml:space="preserve">Situació 1: item no visible.
Situació 2: item connectat autmàtic segons AOC (es visualitza el títol de l'item) però l'enllaç informat no funciona correctament.
Situació 3:  item actiu (es visualitza el títol de l'item) però no té contingut  i no s'explica el motiu de la no informació. (és com no tenir visible).
Situació 4: item no connectat automàtic segons AOC però l'ensha redactat la informació indicant informació que diposa seguint els camps establerts a la fitxa Municat i/o enllaç propi.
Data actualització:informada però desactualitzada més de 2 anys.
Situació 5: el contingut que s'exposa no correspon al contingut de l'item. </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</si>
  <si>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i d'acord amb periodicitat recomanda  (vigent).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i d'acord amb periodicitat recomanda  (vigent).</t>
  </si>
  <si>
    <t>Situació 1: publicació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però desactualitzada 1 any.
Situació 2: l'ens redacta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3: l'ens redirigeix a web municipal on publica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però desactualitzada 1 any.
Situació 4: publicació parcial (manca informació) de qui és la persona responsable del departament de Premsa, Comunicació i/o Informació de la corporació, ja sigui tècnica o política, si se’n disposa.. L'ens publica la informació  utilitzant proposta de camps portal transparència AOC (estructura):
· Nom i cognoms
· Càrrec que ocupa i les funcions
· Adreça de correu electrònic de contacte
· Telèfon corporatiu de contacte
Data actualització: informada actualitzda i/o desactualitzada 1 any
Situació 5: l'ens redacta qui és la persona responsable del departament de Premsa, Comunicació i/o Informació de la corporació, ja sigui tècnica o política, si se’n disposa, però manca informació per donar com a complet aquest item.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
Situació 6: l'ens redirigeix a web municipal on publica parcialment (manca informació) qui és la persona responsable del departament de Premsa, Comunicació i/o Informació de la corporació, ja sigui tècnica o política, si se’n disposa.. L'ens publica la informació sense utilitzar proposta de camps portal transparència AOC (estructura):
· Nom i cognoms
· Càrrec que ocupa i les funcions
· Adreça de correu electrònic de contacte
· Telèfon corporatiu de contacte
Data actualització: informada actualitzda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</si>
  <si>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el contingut que s'exposa no correspon al contingut de l'item.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</si>
  <si>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</si>
  <si>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publicació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2: l'ens redacta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però desactualitzada 1 any.
Situació 3: publicació parcial (manca informació) de la relació dels contractes temporals i d'interinatges no vinculats a cap lloc de treball de la relació de llocs de treball. L'ens publica la informació  utilitzant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
Situació 4: l'ens redacta parcialment (manca informació) la relació dels contractes temporals i d'interinatges no vinculats a cap lloc de treball de la relació de llocs de treball. L'ens publica la informació sense utilitzar la proposta de camps portal transparència AOC (estructura).
Es recomana que per a cadascun dels contractes s’hi especifiqui la informació següent:
· Any
· Denominació del lloc
· Grup
· Complement destí
· Complement específic
· Règim
· Escala / Subescala
· Forma de Provisió
· Jornada
· Efectius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</si>
  <si>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t>
  </si>
  <si>
    <t>Situació 1 : Publicació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però desactualitzada 1 any.
Situació 2: l'ens redacta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però desactualitzada 1 any.
Situació 3: l'ens redirigeix a web municipal on publica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
Situació 4 : Publicació parcial (manca informació) de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utilitzant proposta de camps portal transparència AOC (estructura):
Any, Grup, Nivell, Descripció, Retribucions anuals, Indemnitzacions anuals, Dietes anuals
Data actualització: informada i d'acord amb periodicitat recomanda  (vigent) i/o desactualitzada 1 any.
Situació 5: l'ens redacta parcialment (manca informació) la informació general sobre les retribucions, indemnitzacions i dietes percebudes pels empleats públics, agrupada en funció dels nivells i els cossos. Aquesta obligació es refereix a personal funcionari i laboral que no té la consideració d’alt càrrec ni de personal directiu, ni tampoc de personal eventual i contractat com a assessor dels grups polítics, ni d’aquell que ocupa llocs d’especial confiança o responsabilitat dins de l’organització o d’alt nivell en la jerarquia de l’entitat.L'ens publica la informació sense utilitzar proposta de camps portal transparència AOC (estructura):
Any, Grup, Nivell, Descripció, Retribucions anuals, Indemnitzacions anuals, Dietes anuals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</si>
  <si>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</si>
  <si>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3:  item actiu (es visualitza el títol de l'item) però no té contingut  i no s'explica el motiu de la no informació. (és com no tenir visible).</t>
  </si>
  <si>
    <t xml:space="preserve">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t>
  </si>
  <si>
    <t>Situació 1 : Publicació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però desactualitzada 1 any.
Situació 2 : L'ens redacta i publica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però desactualitzada 1 any.
Situació 3 : Publicació parcial (manca informació) de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utilitzant proposta de camps portal transparència AOC (estructura). 
Data actualització: informada i d'acord amb periodicitat recomanda  (vigent) i/o desactualitzada 1 any.
Situació 4 : L'ens redacta i publica parcialment (manca informació) les llistes que eventualment es creïn per accedir als processos de formació i/o promoció. Aquesta publicació ha d’incloure el personal al servei de les administracions públiques admesos a activitats formatives de recepció no obligatòria i directament relacionades amb la promoció interna, econòmica o professional que organitzi l’Ajuntament.
Aquests efectes, les llistes sobre processos de formació i promoció han d’incloure la següent informació d’acord amb el que s’estableix a l’article 22.2 del DTDAIP:
· Identificació de les persones admeses únicament amb noms i cognoms
· Lloc de treball que ocupen i la unitat orgànica
· Identificació de la unitat que gestiona l'activitat i descripció de l'activitat formativa. En aquest cas cal que l’activitat inclogui: el codi, l'any i les dates d'inici i de finalització.
· Convocatòria.
· Descripció.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</si>
  <si>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</si>
  <si>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Data actualització:informada però desactualitzada més de 2 anys.</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</si>
  <si>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Situació 3: l'ens indica que no disposa d'alliberats sindicals.
Data actualització: informada i d'acord amb periodicitat recomanda  (vigent).</t>
  </si>
  <si>
    <t>Situació 1: publicació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però desactualitzada 1 any.
Situació 2: l'ens redacta i publica del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però desactualitzada 1 any.
Situació 3: publicació parcial (manca informació) del nombre d’alliberats sindicals de l’ens local, amb la següent informació: Any, Sindicat, Número d'alliberats sindicals, Hores, Costos generats total i agregat que generen a l’Administració pública. L'ens publica la informació  utilitzant proposta de camps portal transparència AOC (estructura). 
Data actualització: informada i d'acord amb periodicitat recomanda  (vigent) i/o desactualitzada 1 any.
Situació 4: l'ens redacta i publica parcialment (manca informació) el nombre d’alliberats sindicals de l’ens local, amb la següent informació: Any, Sindicat, Número d'alliberats sindicals, Hores, Costos generats total i agregat que generen a l’Administració pública. L'ens publica la informació sense utilitzar la proposta de camps portal transparència AOC (estructura). 
Data actualització: informada i d'acord amb periodicitat recomanda  (vigent) i/o desactualitzada 1 any.
Situació 5: l'ens indica que no disposa d'alliberats sindicals.
Data actualització: informada però desactualitzada 1 any.</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</si>
  <si>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</si>
  <si>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però desactualitzada 1 any.
Situació 2: l'ens redacta i publica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però desactualitzada 1 any.
Situació 3: Publicació parcial (manca informació) d'un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utilitzant proposta de camps portal transparència AOC (estructura). 
Data actualització: informada i d'acord amb periodicitat recomanda  (vigent).
Situació 4: l'ens redacta i publica  parcialment (manca informació) un extracte de les resolucions vigents d’autorització o reconeixement de la compatibilitat de l’empleat/ada públic amb activitats públiques o privades. Ha de contenir la informació següent:
· El nom i cognoms de l'empleada o empleat.
· El lloc de treball ocupat i el departament o entitat de dret públic vinculat o dependent en què s'integra.
· La data de la resolució de compatibilitat.
· Un breu detall de l'activitat secundària que es compatibilitza, pública o privada, amb referència al tipus d'activitat o professió, a l'àmbit concret d'actuació professional, al nombre total d'hores de dedicació, i al nom o raó social de l'empresa o entitat on es desenvolupi.
· El tipus de vinculació en l'activitat secundària.
· La localització de l'entitat o empresa on es realitza l'activitat secundària, quan sigui rellevant conèixer l'àmbit territorial d'actuació on es desenvolupa l'activitat secundària per gestionar un eventual conflicte d'interès.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</si>
  <si>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t>
  </si>
  <si>
    <t>Situació 1: publicació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però desactualitzada 1 any.
Situació 2: l'ens redacta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però desactualitzada 1 any.
Situació 3: publicació  parcial (manca informació) de la informació del/la Delegat/da de Protecció de Dades de la corporació local, les funcions i les seves dades de contacte: Nom de l’entitat, Unitat encarregad, Correu electrònic, Telèfon, Adreça postal i Observacions (opcional).
L'ens publica la informació  utilitzant proposta de camps portal transparència AOC (estructura). 
Data actualització: informada i d'acord amb periodicitat recomanda  (vigent) i/o desactualtizada 1 any.
Situació 4: l'ens redacta parcialment (manca informació) 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
Situació 5: l'ens redirigeix a web municipal on redactai publica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Situació 5: l'ens redirigeix a web municipal on redacta i publica parcialment (manda informació) la informació del/la Delegat/da de Protecció de Dades de la corporació local, les funcions i les seves dades de contacte: Nom de l’entitat, Unitat encarregad, Correu electrònic, Telèfon, Adreça postal i Observacions (opcional).
L'ens publica la informació sense utilitzar la proposta de camps portal transparència AOC (estructura). 
Data actualització: informada i d'acord amb periodicitat recomanda  (vigent) i/o desactualitzada 1 any.</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</si>
  <si>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t>
  </si>
  <si>
    <t>Situació 1: publicació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però desactualitzada 1 any.
Situació 2: l'ens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3: l'ens redirigeix a web municipal on redacta i publica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però desactualitzada 1 any.
Situació 4: publicació parcial (manca informació o enllaços) de la informació sobre la forma mitjançant la qual les persones interessades poden exercir els seus drets en matèria de protecció de dades de caràcter personal i facilitar també l'enllaç al tràmit electrònic corresponent. Utilització del redactat que el portal de transparència AOC ofereix.
Data actualització: informada i d'acord amb periodicitat recomanda  (vigent) i/o desactualitzada 1 any.
Situació 5: l'ens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i/o desactualitzada 1 any.
Situació 6: l'ens redirigeix a web municipal on redacta i publica parcialment (manca informació o enllaços)  la informació sobre la forma mitjançant la qual les persones interessades poden exercir els seus drets en matèria de protecció de dades de caràcter personal i facilitar també l'enllaç al tràmit electrònic corresponent. No utilitza el redactat que el portal de transparència AOC ofereix.
Data actualització: informada i d'acord amb periodicitat recomanda  (vigent) i / o desactualitzada 1 any.</t>
  </si>
  <si>
    <t>Situació 1: Publicació d'un inventari de les activitats de tractament accessibles per mitjans electrònics: documents RAT responsable i RAT encarregat.
Data actualització: informada i d'acord amb la periodicitat recomanada (any vigent)
Situació 2: l'ens informa que no diposa de RAT
Data actualització: informada i d'acord amb la periodicitat recomanada (any vigent)</t>
  </si>
  <si>
    <t>Situació 1: Publicació d'un inventari de les activitats de tractament accessibles per mitjans electrònics: documents RAT responsable i RAT encarregat.
Data actualització:  informada però desactualitzada 1 any.</t>
  </si>
  <si>
    <t xml:space="preserve">Situació 1: Item connectat automàtic segons AOC amb la visualització anterior i no la vigent gràfica.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Situació 4: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</si>
  <si>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 xml:space="preserve">Situació 1: item connectat automàtic segons AOC amb informació visible.
Data actualització: informada i anual com mostra l'item automàtic
Situació 4: item no connectat automàtic segons AOC però l'ens ha redactat la informació indicant informació que disposa seguint els camps establerts a la fitxa Municat i facilitant en format reutilitzable.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</si>
  <si>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però no  facilitat en formant reutilitable
Data actualització: informada i  i d'acord amb periodicitat recomanda  (vigent)
Situació 3: item no connectat automàtic segons AOC però l'ens ha facilitat la informació  seguint els camps establerts a la fitxa Municat  i facilitat en formant reutilitable
Data actualització: informada però desactualitzada 1 any.
</t>
  </si>
  <si>
    <t xml:space="preserve">Situació 1: item no visible.
Situació 2: item actiu (es visualitza el títol de l'item) però no té contingut (les dades obertes no estan activades) i no s'explica el motiu de la no informació. (és com no tenir visible).
Situació 3:  item no connectat automàtic segons AOC però l'ens ha redactat la informació indicantla informació que disposa seguint els camps establerts a la fitxa Municat.
Data actualització: informada però desactualitzada més de 2 anys.
Situació 4: el contingut que s'exposa no correspon al contingut de l'item. 
</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</si>
  <si>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i d'acord amb periodicitat recomanda  (vigent)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i d'acord amb periodicitat recomanda  (vigent)</t>
  </si>
  <si>
    <t>Situació 1:Publicació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publica la informació  utilitzant proposta de camps portal transparència AOC (estructura). 
Data actualització: informada però desactualitzada 1 any.
Situació 2:Publicació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Facilitar en format reutilitzable.
L'ens redacta i publica la informació sense utilitzar la proposta de camps portal transparència AOC (estructura). 
Data actualització: informada però desactualitzada 1 any.
Situació 3:Publicació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publica la informació  utilitzant proposta de camps portal transparència AOC (estructura). 
Data actualització: informada i d'acord amb periodicitat recomanda  (vigent) i/o desactualitzada 1 any.
Situació 4:Publicació d'una relació estructurada de proveïdors, adjudicataris i contractistes de l’ens local, amb la finalitat d’assegurar la transparència i l’accés a la informació relativa a l’activitat contractual, de manera constant i actualitzada. Informació a publicar: Nom de l’empresa, NIF, Any, Import de contractació, Número de contractes. No facilita en format reutilitzable.
L'ens redacta i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</si>
  <si>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Amb o sense format reutilitzable.
Data actualització:informada però desactualitzada més de 2 anys.
Situació 4:  l'ens ha redactat la informació correcta seguint indicacions proposta de camps portal transparència AOC i fitxa Municat (no utilització camps estructurats AOC). Amb o sense format reutilitzable.
Data actualització:informada però desactualitzada més de 2 anys.
Situació 5:  l'ens redirigeix a la web municipal la consulta però l'enllaç està trencat o no funciona.
Data actualització: informada i d'acord amb periodicitat recomanda  (vigent) i/o desactualitzada més d'1 any.
Situació 6: el contingut que s'exposa no correspon al contingut de l'item. </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</si>
  <si>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i d'acord amb periodicitat recomanda  (vigent)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i d'acord amb periodicitat recomanda  (vigent)</t>
  </si>
  <si>
    <t>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la informació  utilitzant proposta de camps portal transparència AOC (estructura). 
Data actualització: informada però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la informació sense utilitzar la proposta de camps portal transparència AOC (estructura). 
Data actualització: informada però desactualitzada 1 any.
Situació 1:Publicació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publica parcial (manca informació) la informació  utilitzant proposta de camps portal transparència AOC (estructura). 
Data actualització: informada i d'acord amb periodicitat recomanda  (vigent) i/o desactualitzada 1 any.
Situació 2:Publicació de les resolucions i actes següents: 
· Resolucions dels recursos especials.
· Resolucions de les qüestions de nul·litat.
· Resolucions judicials definitives en matèria de contractació.
· Actes de desistiment, renúncia i resolució de contractes.
Seguint els següents camps: Data, Tipus, Títol de la resolució, Enllaç, Document.
L'ens redacta i publica parcial (manca informació)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</si>
  <si>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el contingut que s'exposa no correspon al contingut de l'item. 
</t>
  </si>
  <si>
    <t>Situació 1: Publicació de les dades estadístiques sobre els percentatges i el volum pressupostari dels contractes adjudicats, d’acord amb cadascun dels procediments establerts per la legislació de contractes del sector públic, amb la finalitat d’assegurar la transparència i l’accés a la informació relativa a l’activitat contractual. Facilitar en format reutilitzable i visualització gràfica.
Data actualització: informada i d'acord amb la periodicitat recomanada (any vigent)
Situació 2: redirecció a items Relació de contractes adjudicats (històrics) i Relació de contractes menors (històric) ja que en aquests items es visualitza la informació sobre adjudicats segons procediment.
Data actualització: informada i d'acord amb la periodicitat recomanada (any vigent)</t>
  </si>
  <si>
    <t>Situació 1: publicació de la informació estadística sobre els percentatges i el volum pressupostari dels constractes adjudicats.
Data actualització:  informada però desactualitzada 1 any.</t>
  </si>
  <si>
    <t>Publicació de la relació anonimitzada dels llocs de treball ocupats i de la classificació professional del personal, el règim de dedicació, el règim retributiu i les tasques que duen a terme les persones que, sense tenir un vincle laboral amb l’Administració, estan adscrites per les empreses adjudicatàries d’un contracte subscrit amb l’Administració, per dur a terme una activitat, un servei o una obra, amb caràcter permanent i que durant l’execució del contracte, treballen en l’establiment o les dependències públiques per portar a terme l’objecte del contracte.
Facilitar en format reutilitzable.
Data actualització: informada i d'acord amb la periodicitat recomanada (any vigent)</t>
  </si>
  <si>
    <t>Situació 1: publicació de la relació  anonomitzada de treball ocupats segons fitxa Municat.
Data actualització:  informada però desactualitzada 1 any.
Situació 2: publicació parcial de la relació  anonomitzada de treball ocupats segons fitxa Municat.
Data actualització: informada i d'acord amb la periodicitat recomanada (any vigent)</t>
  </si>
  <si>
    <t xml:space="preserve">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t>
  </si>
  <si>
    <t>Situació 1:Publicació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però desactualitzada 1 any.
Situació 2:Publicació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però desactualitzada 1 any.
Situació 3:Publicació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publica la informació  utilitzant proposta de camps portal transparència AOC (estructura). 
Data actualització: informada i d'acord amb periodicitat recomanda  (vigent) i/o desactualitzada 1 any
Situació 4:Publicació parcial (manca informació) de la informació relativa al compliment i l’execució de tot tipus de convenis i també les eventuals modificacions de qualsevol dels paràmetres què fa referència la lletra a) de l’apartat 2 de l’art.14 de la LTC, així com la data i la forma en què s’hagin produït. Informació a publicar: Núm. d’expedient (text), Descripció (text), Data (data), Informació de l’execució (text enriquit), Informació de modificacions (text enriquit)
L'ens redacta i publica la informació sense utilitzar la proposta de camps portal transparència AOC (estructura). 
Data actualització: informada i d'acord amb periodicitat recomanda  (vigent) i/o desactualitzada 1 any
Situació 5: l'ens redirigeix a web Registre Convenis generalitat per donar resposta parcialment a la informació.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</si>
  <si>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web Registre Convenis generalitat per donar resposta parcialment a la informació.
Data actualització:informada però desactualitzada més de 2 anys.
Situació 6: el contingut que s'exposa no correspon al contingut de l'item.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</si>
  <si>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facilitant en format reutilizable.
Data actualització: informada i i d'acord amb periodicitat recomanda  (vigent).
</t>
  </si>
  <si>
    <t xml:space="preserve">Situació 1: item no connectat automàtic segons AOC però l'ens ha facilitat la informació  seguint els camps establerts a la fitxa Municat però no  facilitat en formant reutilitable
Data actualització: informada i  i d'acord amb periodicitat recomanda  (vigent)
Situació 2: item no connectat automàtic segons AOC però l'ens ha facilitat la informació  seguint els camps establerts a la fitxa Municat  i facilitat en formant reutilitable
Data actualització: informada però desactualitzada 1 any.
Situació 3: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4: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</si>
  <si>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t>
  </si>
  <si>
    <t>Situació 1:Publicació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però desactualitzada 1 any.
Situació 2:Publicació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però desactualitzada 1 any.
Situació 3: 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publica la informació  utilitzant proposta de camps portal transparència AOC (estructura). 
Data actualització: informada i d'acord amb periodicitat recomanda  (vigent) i/o desactualitzada 1 any.
Situació 4:Publicació parcial (manca informació) de  les retribucions que perceben les persones que formen part dels òrgans de direcció o administració de les persones jurídiques beneficiàries de subvencions i ajuts públics superiors a 10.000 euros, seguint els camps proposats en el portal de transparència AOC.
L'ens redacta i publica la informació sense utilitzar la proposta de camps portal transparència AOC (estructura). 
Data actualització: informada i d'acord amb periodicitat recomanda  (vigent) i/o desactualitzada 1 any.</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</si>
  <si>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i en format reutilitzable.
Data actualització: informada i i d'acord amb periodicitat recomanda  (vigent).
</t>
  </si>
  <si>
    <t xml:space="preserve">Situació 1: item no visible.
Situació 2: item actiu (es visualitza el títol de l'item) però no té contingut (les dades obertes no estan activades) i no s'explica el motiu de la no informació. (és com no tenir visible).
Situació 1: Item connectat automàtic segons AOC sense informació visible i sense explicació per part de l'ens especificant el motiu de no informació. 
Data actualització: informada i d'acord amb periodicitat recomanda   com mostra l'item automàtic 
Situació 3:  item no connectat automàtic segons AOC però l'ens ha redactat la informació indicantla informació que disposa seguint els camps establerts a la fitxa Municat.
Data actualització: informada però desactualitzada més de 2 anys.
Situació 4: item no connectat automàtic segons AOC però l'ens ha redirigit a web municipal on es pot consultar la informació de l'ens  seguint els camps establerts a la fitxa Municat.
Data actualització:informada però desactualitzada més de 2 anys.
Situació 5: el contingut que s'exposa no correspon al contingut de l'item. 
</t>
  </si>
  <si>
    <t>Publicació de les dades de l’execució del pressupost de l’ens local, tant pel que fa a les despeses com els ingressos. Aquesta informació ha d'estar en format reutilitzable.
Data actualització: informada i d'acord amb la periodicitat recomanada (any vigent)
[NOTA: Els municipis amb més de 5.000 habitants han d’enviar aquesta informació (execució trimestral) a l’Estat. Pel que fa als ens locals no obligats a la tramesa d’aquesta informació
(població no superior a 5.000 habitants) faran pública aquesta informació en la forma que s’estableixi en el reglament de desenvolupament de la LTAIPGB].</t>
  </si>
  <si>
    <t>Publicació de les dades de l’execució del pressupost de l’ens local, tant pel que fa a les despeses com els ingressos. Aquesta informació ha d'estar en format reutilitzable.
Data actualització:  informada però desactualitzada 1 any.</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</si>
  <si>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Data actualització: informada i i d'acord amb periodicitat recomanda  (vigent).
</t>
  </si>
  <si>
    <t xml:space="preserve">Situació 1: item no connectat automàtic segons AOC però l'ens ha facilitat la informació  seguint els camps establerts a la fitxa Municat.
Data actualització: informada però desactualitzada 1 any.
Situació 2: item no connectat automàtic segons AOC però l'ens ha redirigit a web municipal on es pot consultar la informació seguint els camps establerts a la fitxa Municat.
Data actualització: informada però desactualitzada 1 any.
Situació 3: item no connectat automàtic segons AOC però l'ens ha redirigit a web municipal on es pot consultart la informació seguint els camps establerts a la fitxa Municat.
Data actualització: informada i  i d'acord amb periodicitat recomanda  (vigent)
</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</si>
  <si>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t>
  </si>
  <si>
    <t>Situació 1: publicació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però desactualitzada 1 any.
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però desactualitzada 1 any.
Situació 3: publicació parcial (manca informació )de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utilitzant proposta de camps portal transparència AOC (estructura). 
Data actualització: informada i d'acord amb periodicitat recomanda  (vigent) i/o desactualitzada 1 any.
Situació 4: l'ens redacta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
Situació 5: l'ens redirigeix a web muncipal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Situació 6: l'ens redirigeix a web muncipal i publica parcialment (manca informació)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
L'ens publica la informació sense utilitzar la proposta de camps portal transparència AOC (estructura). 
Data actualització: informada i d'acord amb periodicitat recomanda  (vigent) i/o desactualitzada 1 any.</t>
  </si>
  <si>
    <t xml:space="preserve">L'ens publica la informació  utilitzant proposta de camps portal transparència AOC (estructura). </t>
  </si>
  <si>
    <t>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</si>
  <si>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i d'acord amb periodicitat recomanda  (vigent)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i d'acord amb periodicitat recomanda  (vigent)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i d'acord amb periodicitat recomanda  (vigent)</t>
  </si>
  <si>
    <t>Situació 1: publicació dels informes d’auditoria dels comptes de l’ens local i els informes de fiscalització dels òrgans de control extern:Data de l’auditoria, Títol de la mateixa, Descripció, Document.
L'ens publica la informació  utilitzant proposta de camps portal transparència AOC (estructura). 
Data actualització: informada però desactualitzada 1 any.
Situació 2: l'ens redacta i publica els informes d’auditoria dels comptes de l’ens local i els informes de fiscalització dels òrgans de control extern:Data de l’auditoria, Títol de la mateixa, Descripció, Document.
L'ens publica la informació  sense utilitzar la proposta de camps portal transparència AOC (estructura). 
Data actualització: informada però desactualitzada 1 any.
Situació 3: redirecció a web Sindicatura de Comptes de Catalunya, doncs ja permet accedir a les auditories de comptes de l’Ajuntament. És recomanable, però, que l’enllaç porti directament a la informació del propi Ajuntament, evitant a la ciutadania la necessitat de fer cerques addicionals.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</si>
  <si>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redireig a web Sindicatura de Comptes de Catalunya, doncs ja permet accedir a les auditories de comptes de l’Ajuntament.
Data actualització:informada però desactualitzada més de 2 anys.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</si>
  <si>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2: l'ens redacta i publica la informació de les campanyes i accions de publicitat i de promoció institucional: Nom de la campanya de publicitat, Mes, Any, Concepte, Àmbit, L'òrgan promotor, El cost de la campanya desglossat per conceptes, Mitjans de comunicació emprats, Tipologia de mitjà, Identificació nominativa de l'empresa de comunicació o grup empresarial, Import destinat a cadascun, Període d'execució.</t>
  </si>
  <si>
    <t xml:space="preserve">L'ens publica la informació sense utilitzar la proposta de camps portal transparència AOC (estructura). </t>
  </si>
  <si>
    <t>Publicació del Pla anual de control financer facilitant el document en el propi item.
Data actualització: informada i d'acord amb la periodicitat recomanada (any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</si>
  <si>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t>
  </si>
  <si>
    <t>Situació 1: publicació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2: l'ens redacta i publicar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però desactualitzada 1 any.
Situació 3: publicació parcial (manca informació) de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
Situació 4: l'ens redacta i publicar parcial (manca informació) la informació relativa als béns que, de conformitat amb els seus inventaris respectius, siguin de la seva propietat, o sobre els quals disposin de drets d'una altra naturalesa: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</si>
  <si>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</si>
  <si>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als béns mobles de valor històric i artístic,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</si>
  <si>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Situació 2: l'ens redacta i publica de la informació relativa  a la relació de vehicles oficials, ja siguin propis o llogats,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</si>
  <si>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2: l'ens redacta i publica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però desactualitzada 1 any.
Situació 3: publicació parcial (manca informació) de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relativa  a la relació de vehicles oficials, siguin de la seva propietat, o sobre els quals disposin de drets d'una altra naturalesa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</si>
  <si>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Situació 2: l'ens redacta i publica 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t>
  </si>
  <si>
    <t>Situació 1: publicació de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2: l'ens redacta i publica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però desactualitzada 1 any.
Situació 3: publicació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la informació la informació econòmica relativa a la gestió del patrimoni de domini públic, del patrimoni de béns patrimonials i sobre la contractació patrimonial  (veure definició camps fitxa Municat).
L'ens publica la informació  utilitzant proposta de camps portal transparència AOC (estructura). Facilitar en format reutilitzable.
Data actualització: informada i d'acord amb periodicitat recomanda  (vigent) i/o desactualitzada 1 any.</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</si>
  <si>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i d'acord amb periodicitat recomanda  (vigent)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i d'acord amb periodicitat recomanda  (vigent)</t>
  </si>
  <si>
    <t>Situació 1:Publicació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publica la informació  utilitzant proposta de camps portal transparència AOC (estructura). 
Data actualització: informada però desactualitzada 1 any.
Situació 2: Publicació dls indicadors que reflecteixen la transparència de l’ens: avaluacions externes, segells, grau d'emplenament del portal de transparència AOC, projectes realitzats per a la millora de la implementació de la transparència en l'ens. Facilita la informació i els documents corresponents així com enllaços de consulta de la informació si s'escau.
L'ens redacta i publica la informació sense utilitzar la proposta de camps portal transparència AOC (estructura). 
Data actualització: informada però desactualitzada 1 any.</t>
  </si>
  <si>
    <t>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Situació 3: l'ens informa i facilita enllaços de consulta de les incidències vigents.
Data actualització: informada i d'acord amb periodicitat recomanda  (vigent)</t>
  </si>
  <si>
    <t xml:space="preserve">Situació 1: Publicació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però desactualitzada 1 any.
Situació 2: Publicació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però desactualitzada 1 any.
Situació 3: l'ens informa i facilita enllaços de consulta de les incidències vigents.
Data actualització: informada però desactualitzada 1 any.
Situació 4: Publicació parcial (manca informació) de les incidències dels serveis municipals, quan n'hi hagin. Informació a publicar: Títol, Serveis que afecta., Hora inici, Data inici, Hora fi, Data fi, Descripció, Adjunt, Enllaç.
L'ens publica la informació  utilitzant proposta de camps portal transparència AOC (estructura). 
Data actualització: informada i d'acord amb periodicitat recomanda  (vigent) i/o desactualitzada 1 any. 
Situació 5: Publicació parcial (manca informació ) de les incidències dels serveis municipals, quan n'hi hagin. Informació a publicar: Títol, Serveis que afecta., Hora inici, Data inici, Hora fi, Data fi, Descripció, Adjunt, Enllaç.
L'ens redacta i publica la informació sense utilitzar la proposta de camps portal transparència AOC (estructura). 
Data actualització: informada i d'acord amb periodicitat recomanda  (vigent) i/o desactualitzada 1 any. </t>
  </si>
  <si>
    <t xml:space="preserve">Situació 1: item connectat automàtic segons AOC amb informació visible.
Data actualització: informada i anual com mostra l'item automàtic
Situació 2: item connectat automàtic segons AOC sense informació visible però amb explicació per part de l'ens especificant el motiu de no informació. (no es considera vàlid si l'ens indica que està en fase d'elaboració)..
Data actualització: informada i d'acord amb periodicitat recomanda com mostra l'item automàtic
Situació 3: item no connectat automàtic segons AOC però l'ens ha redactat la informació indicant informació que disposa seguint els camps establerts a la fitxa Municat.
Data actualització: informada i i d'acord amb periodicitat recomanda  (vigent).
Situació 4: item no connectat automàtic segons AOC però l'ens ha redirigit a web municipal on es pot consultar la informació seguint els camps establerts a la fitxa Municat i facilitant la informació en format reutilitzable.
Data actualització: informada i i d'acord amb periodicitat recomanda  (vigent).
</t>
  </si>
  <si>
    <t xml:space="preserve">Situació 1: Item connectat automàtic segons AOC sense informació visible i sense explicació per part de l'ens especificant el motiu de no informació. 
Data actualització: informada i d'acord amb periodicitat recomanda   com mostra l'item automàtic 
Situació 2: item no connectat automàtic segons AOC però l'ens ha facilitat la informació  seguint els camps establerts a la fitxa Municat  i facilitat en formant reutilitable
Data actualització: informada però desactualitzada 1 any.
Situació 3: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5: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</si>
  <si>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Publicació de la informació sobre les zones de sensibilitat acústica, les zones de soroll i llurs entorns que estigui a disposició de l'ens.
Es pot reedirigir aquest item a Generalitat: https://mediambient.gencat.cat/ca/05_ambits_dactuacio/atmosfera/contaminacio_acustica/gestio_ambiental_del_soroll/mapes_de_capacitat_acustica/
Data actualització: informada i d'acord amb la periodicitat recomanada (any vigent)</t>
  </si>
  <si>
    <t>Situació 1: informació correcta pròpia de l'ens sobre contaminació acústica
Data actualització:  informada però desactualitzada 1 any.</t>
  </si>
  <si>
    <t xml:space="preserve">Situació 1: item no visible.
Situació 2:  item actiu (es visualitza el títol de l'item) però no té contingut  i no s'explica el motiu de la no informació. (és com no tenir visible).
Situació 3:  item actiu (es visualitza el títol de l'item) i ens ha redireccionat la informació a web però aquest enllaç no funciona correctament.
Situació 4: l'ens ha redactat la informació indicant informació que diposa seguint els camps establerts a la fitxa Municat i/o enllaç propi.
Data actualització:informada però desactualitzada més de 2 anys.
Situació 5: el contingut que s'exposa no correspon al contingut de l'item. </t>
  </si>
  <si>
    <t xml:space="preserve">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i d'acord amb periodicitat recomanda  (vigent)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i d'acord amb periodicitat recomanda  (vigent)
</t>
  </si>
  <si>
    <t>Situació 1: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publica la informació  utilitzant proposta de camps portal transparència AOC (estructura). 
Data actualització: informada però desactualitzada 1 any.
Situació 2: Publicació de les dades relatives a la incidència social de les polítiques públiques que porta a terme l’ens local que promoguin l’accessibilitat en tots els àmbits de la societat, que impulsin la solidaritat envers les persones amb necessitats de suport i que siguin promotores del respecte per la diversitat, avançant cap a l'efectiva igualtat de les persones, mitjançant polítiques universals i garantistes de serveis socials, habitatge, treball, etc. Informació a publicar: Espai de participació, Descripció, Enllaç, Document i Més informació.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</si>
  <si>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i d'acord amb periodicitat recomanda  (vigent)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i d'acord amb periodicitat recomanda  (vigent)
</t>
  </si>
  <si>
    <t xml:space="preserve">Situació 1:Publicació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publica la informació  utilitzant proposta de camps portal transparència AOC (estructura). 
Data actualització: informada però desactualitzada 1 any.
Situació 2: Publicació de la informació relativa als resultats de l’avaluació de la qualitat dels serveis públics que s’ofereixen a la ciutadania, d’acord amb les normes, indicadors i estàndards de qualitat de cadascun d’ells. Les auditories d’avaluació de la qualitat dels serveis comprenen tant els procediments interns per prestar-los com els externs de prestació en sentit estricte. Informació a publicar: Data, Títol, Descripció, Àmbit, Document.
L'ens redacta i publica la informació sense utilitzar la proposta de camps portal transparència AOC (estructura). 
Data actualització: informada però desactualitzada 1 any.
Situació 3: l'ens redirigeix a web municipal on informa i facilita enllaços la informació d'acord amb la fitxa Municat.
Data actualització: informada i d'acord amb periodicitat recomanda  (vigent) i/o desactualitzada 1 any.
</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</si>
  <si>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Data actualització: informada i i d'acord amb periodicitat recomanda  (vigent).
Situació 3: item no connectat automàtic segons AOC però l'ens els redirigeix a web municipal on hi consta la informació seguint els camps establerts a la fitxa Municat
Data actualització: informada i i d'acord amb periodicitat recomanda  (vigent).
</t>
  </si>
  <si>
    <t xml:space="preserve">Situació 1: item no connectat automàtic segons AOC però l'ens ha facilitat la informació  seguint els camps establerts a la fitxa Municat
Data actualització: informada però desactualitzada 1 any.
Situació 2: item no connectat automàtic segons AOC però l'ens ha redirigit a web municipal on es pot consultar la informació seguint els camps establerts a la fitxa Municat 
Data actualització: informada però desactualitzada 1 any.
</t>
  </si>
  <si>
    <t>Publicar la relació d’equipaments municipals entesos com espais de titularitat municipal.
Pot publicar-se en el propi item o amb una redirecció a web municipal.
De cadascun d’aquests equipaments es podria fer pública, com a mínim: l’adreça, les dades tècniques de l’equipament, inclòs l’aforament per a activitats de pública concurrència, i el termini per presentar una sol·licitud d’ús.
Data actualització: informada i d'acord amb la periodicitat recomanada (any vigent)</t>
  </si>
  <si>
    <t>Situació 1: publicació parcial de la informació referent als equipaments municipals.
Data actualització: informada i d'acord amb la periodicitat recomanada (any vigent)
Situació 2: publicació correcta de la informació
Data actualització:  informada però desactualitzada 1 any.</t>
  </si>
  <si>
    <t xml:space="preserve">Enllaç directament al lloc web de l’ens on es pot trobar el tràmit electrònic de la instància genèrica i haurà de contenir els requisits de l’art. 66.1 de la LPACAP que  regula el contingut mínim que han de tenir les sol·licituts formulades pels interessats.
En cas de no tenir-ne de propi es farà l’enllaç a la sol·licitud existent a l’e-TRAM.
Data actualització: informada i d'acord amb la periodicitat recomanada (any vigent)
</t>
  </si>
  <si>
    <t>Situació 1: publicació de l'enllaça tràmit instància genèrica no AOC
Data actualització:  informada però desactualitzada 1 any.</t>
  </si>
  <si>
    <t>Informar qui realitza la gestió tributària en l'ens i facilitar:
- Punt atenció física : població, l’adreça física els telèfons i els horaris.
- Tramitació on-line: enllaç a web (directe a plana de tramitació)
Data actualització: informada i d'acord amb la periodicitat recomanada (any vigent)</t>
  </si>
  <si>
    <t>Situació 1: s'informa qui realitza la gestió i  només del punt d'atenció física o del punt d'atenció on-line però no dels dos.
Data actualització: informada i d'acord amb la periodicitat recomanada (any vigent)
Situació 2: s'informa correctament tant qui realitza la gestió com els punts d'atenció física i la tramitació on-line.
Data actualització:  informada però desactualitzada 1 any.</t>
  </si>
  <si>
    <t>S’ha de mostrar l’enllaç al tràmit electrònic de sol·licitud d’accés a la informació pública de cada ens.
En cas de no tenir-ne de propi es farà l’enllaç a la sol·licitud existent a l’e-TRAM.
Data actualització: informada i d'acord amb la periodicitat recomanada (any vigent)</t>
  </si>
  <si>
    <t>Situació 1: publicació de l'enllaça tràmit SAIP no AOC
Data actualització:  informada però desactualitzada 1 any.</t>
  </si>
  <si>
    <t>Publicar les propostes d'actuació o millora, suggeriments i queixes que els ciutadans facin sobre el funcionament dels serveis públics municipals.L'Administració pública ha de donar a conèixer de manera anònima les propostes i els suggeriments rebuts, i ha de reconèixer i fer públiques les iniciatives ciutadanes l'aplicació de les quals comporti una millora substancial dels serveis públics.
Facilitar l'enllaç al tràmit per realitzar aquestes propostes.
En cas de no tenir-ne de propi es farà l’enllaç a la sol·licitud existent a l’e-TRAM.
Data actualització: informada i d'acord amb la periodicitat recomanada (any vigent)</t>
  </si>
  <si>
    <t>Situació 1: Publicació del resum de propostes d'actuacions rebudes i publicació de l'enllaç a tràmit Queixes i suggeriments no AOC.
Data actualització:  informada però desactualitzada 1 any.
Situació 2: Publicació correcte de l'enllaç però no del resum de propostes d'actuacions rebudes i que han comportat millores en els serveis públics.</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</si>
  <si>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i d'acord amb periodicitat recomanda  (vigent)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i d'acord amb periodicitat recomanda  (vigent)</t>
  </si>
  <si>
    <t>Situació 1:Publicació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publica la informació  utilitzant proposta de camps portal transparència AOC (estructura). 
Data actualització: informada però desactualitzada 1 any.
Situació 2:Publicació del Catàleg de dades i documents interoperables de l'ens (El Catàleg de dades i documents interoperables a Catalunya és l'eina a través de la qual el sector públic de Catalunya fa efectiu el dret dels ciutadans a no aportar les dades i els documents que són en poder de les administracions públiques, a l’efecte de fer efectiu el dret dels ciutadans i ciutadanes a no aportar-los en un procediment concret).
L'ens redacta i publica la informació sense utilitzar la proposta de camps portal transparència AOC (estructura). 
Data actualització: informada però desactualitzada 1 any.</t>
  </si>
  <si>
    <t xml:space="preserve">Situació 1: item connectat automàtic segons AOC amb informació visible.
Data actualització: informada i anual com mostra l'item automàtic
Situació 2: item no connectat automàtic segons AOC però l'ens ha redactat la informació indicant informació que disposa seguint els camps establerts a la fitxa Municat i en format reutilitzable.
Data actualització: informada i i d'acord amb periodicitat recomanda  (vigent).
</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</si>
  <si>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t>
  </si>
  <si>
    <t>Situació 1: publicació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però desactualitzada 1 any.
Situació 2: l'ens redacta i publica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però desactualitzada 1 any.
Situació 3: publicació parcial (manca informació) dels acords de les sessions de Junta de Govern Local, indicant-ne: Data acord,, Núm. Sessió, Tipus sessió , Enllaç acta , Codi acta , Codi ens.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de les sessions de Junta de Govern Local, indicant-ne: Data acord,, Núm. Sessió, Tipus sessió , Enllaç acta , Codi acta , Codi ens.
L'ens publica la informació sense utilitzar la proposta de camps portal transparència AOC (estructura). Facilitar en format reutilitzable.
Data actualització: informada i d'acord amb periodicitat recomanda  (vigent) i/o desactualitzada 1 any.</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</si>
  <si>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t>
  </si>
  <si>
    <t>Situació 1: publicació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però desactualitzada 1 any.
Situació 2: l'ens redacta i publica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però desactualitzada 1 any.
Situació 3: publicació parcial (manca informació) dels acords d’altres òrgans complementaris al Ple o la Junta de Govern com poden ser comissions informatives, comissió especial de comptes, o juntes de portaveus
L'ens publica la informació  utilitzant proposta de camps portal transparència AOC (estructura). Facilitar en format reutilitzable.
Data actualització: informada i d'acord amb periodicitat recomanda  (vigent) i/o desactualitzada 1 any.
Situació 4: l'ens redacta i publica parcial (manca informació) els acords d’altres òrgans complementaris al Ple o la Junta de Govern com poden ser comissions informatives, comissió especial de comptes, o juntes de portaveus
L'ens publica la informació sense utilitzar la proposta de camps portal transparència AOC (estructura). Facilitar en format reutilitzable.
Data actualització: informada i d'acord amb periodicitat recomanda  (vigent) i/o desactualitzada 1 any.</t>
  </si>
  <si>
    <t>Publicació de la relació dels actes administratius que adopti l’alcaldia o la presidència de l’ens local o aquells en els quals aquests hagin delegat.
La relació que es publiqui ha de fer constar:  la identificació del decret, la data d’aprovació i la descripció de l’objecte. Cal tenir mesures per garantir el compliment de les normes sobre protecció de dades personals. Facilitat en format reutilitzable.
Data actualització: informada i d'acord amb la periodicitat recomanada (any vigent)</t>
  </si>
  <si>
    <t>Situació 1: Publicació de la relació dels actes administratius que adopti l’alcaldia o la presidència de l’ens local o aquells en els quals aquests hagin delegat. La informació s'ofereix en format PDF o altres formats no reutilitzables.
Data actualització: informada i d'acord amb la periodicitat recomanada (any vigent)
Situació 2:  Publicació de la relació dels actes administratius que adopti l’alcaldia o la presidència de l’ens local o aquells en els quals aquests hagin delegat. La informació s'ofereix en formats reutilitzables.
Data actualització:  informada però desactualitzada 1 any.
Situació 3:  Publicació de la relació dels actes administratius que adopti l’alcaldia o la presidència de l’ens local o aquells en els quals aquests hagin delegat. La informació s'ofereix en format PDF o altres formats no reutilitzables.actualització:  informada però desactualitzada 1 any.</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</si>
  <si>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t>
  </si>
  <si>
    <t>Situació 1: publicació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però desactualitzada 1 any. 
Situació 2: l'ens redacta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però desactualitzada 1 any.
Situació 3: publicació parcial (manca informació) de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utilitzant proposta de camps portal transparència AOC (estructura). 
Data actualització: informada i d'acord amb periodicitat recomanda  (vigent) i/o desactualitzada 1 any.
Situació 4: l'ens redacta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
Situació 5: l'ens redirigeix a web municipal i publica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Situació 6: l'ens redirigeix a web municipal i publica parcial (manca informació) l’escrit de convocatòria del Ple signat per l’alcalde-president, amb les dades de la convocatòria que estableix la normativa vigent i l’ordre del dia: les dates de convocatòria de les sessions de Ple, indicant-hi també el lloc i l’hora d’inici, el número de sessió, el tipus de sessió (ordinària / extraordinària / urgent), el text amb els punts inclosos en l’ordre del dia, etc.
L'ens publica la informació sense utilitzar la proposta de camps portal transparència AOC (estructura). 
Data actualització: informada i d'acord amb periodicitat recomanda  (vigent) i/o desactualitzada 1 any.</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</si>
  <si>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t>
  </si>
  <si>
    <t>Situació 1: publicació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però desactualitzada 1 any. 
Situació 2: l'ens redacta i publica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però desactualitzada 1 any. 
Situació 3: publicació parcial (manca informació) de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utilitzant proposta de camps portal transparència AOC (estructura). 
Data actualització: informada i d'acord amb periodicitat recomanda  (vigent) i/o desactualitzada 1 any.
Situació 4: l'ens redacta i publica parcial (manca informació) les resolucions i decrets adoptats per l’alcaldia o la presidència de l’ens local o per aquells en els quals aquests hagin delegat, i els acords del Ple o de la Junta de govern que incideixin o puguin incidir en les matèries a les quals fa referència l’article: domini públic i gestió de serveis públics. S’ha de referir a actes administratius definitius. També els acords i resolucions que ho aconsellin per raons d’interès públic especial.
L'ens publica la informació sense utilitzar la proposta de camps portal transparència AOC (estructura). 
Data actualització: informada i d'acord amb periodicitat recomanda  (vigent) i/o desactualitzada 1 any.</t>
  </si>
  <si>
    <t xml:space="preserve">Publicació dels actes administratius que hagin estat revisats mitjançant procediments administratius de revisió d’ofici d’actes nuls, de declaració de lesivitat o de revocació, o mitjançant l’estimació total o parcial d’un recurs administratiu: s’ha de publicar el text dels actes administratius objecte de revisió, indicar les dates d’inici i fi del procediment de revisió o recurs i publicar també el text de l’acte administratiu que posa fi al procediment de revisió, amb indicació de si l’acte és ferm o no. Facilitar en format reutilitzable i els documents corresponents.
També cal fer pública la informació estadística relativa al nombre d’actes revisats i els procediments de revisió.
Data actualització: informada i d'acord amb la periodicitat recomanada (any vigent)
</t>
  </si>
  <si>
    <t>Situació 1: Publicació dels actes administratius que hagin estat revisats mitjançant procediments administratius de revisió d’ofici d’actes nuls, de declaració de lesivitat o de revocació amb format reutilitzable.
Data actualització:  informada però desactualitzada 1 any.
Situació 2: Publicació dels actes administratius que hagin estat revisats mitjançant procediments administratius de revisió d’ofici d’actes nuls, de declaració de lesivitat o de revocació sense format reutilitzable.
Data actualització: informada i d'acord amb la periodicitat recomanada (any vigent).
Situació 3: Publicació dels actes administratius que hagin estat revisats mitjançant procediments administratius de revisió d’ofici d’actes nuls, de declaració de lesivitat o de revocació on manca informació segons fitxa Municat.
Data actualització: informada i d'acord amb la periodicitat recomanada (any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</si>
  <si>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t>
  </si>
  <si>
    <t>Situació 1: publicació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però desactualitzada 1 any. 
Situació 2: l'ens redacta i publica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però desactualitzada 1 any. 
Situació 3: publicació parcial (manca informació) de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utilitzant proposta de camps portal transparència AOC (estructura). 
Data actualització: informada i d'acord amb periodicitat recomanda  (vigent) i/o desactualitzada 1 any.
Situació 4: l'ens redacta i publica parcial (manca informació) les resolucions administratives i judicials rellevants en les quals l’ens sigui part processal, així com les resolucions judicials definitives que afectin a les persones obligades al compliment de la LTAIPBG, per raó de l’exercici de les funcions i responsabilitats que els atribueix. A aquests efectes i d’acord al punt 3 de l’article 40 del DTDAIP s’ha de publicar un resum o extracte del contingut d’aquestes resolucions administratives i judicials, així com un enllaç al text íntegre.
L'ens publica la informació sense utilitzar la proposta de camps portal transparència AOC (estructura). 
Data actualització: informada i d'acord amb periodicitat recomanda  (vigent) i/o desactualitzada 1 any.</t>
  </si>
  <si>
    <t xml:space="preserve">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Situació 4: l'ens indica que no disposa d'un espai específic per a la publicació d'aquesta informació pel que fa a noticies i opinions però sí que publica les mocions.
Data actualització: informada i d'acord amb periodicitat recomanda  (vigent)
</t>
  </si>
  <si>
    <t>Situació 1: publicació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però desactualitzada 1 any.
Situació 2: l'ens redacta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3: l'ens redirigeix a web municipal  i publica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però desactualitzada 1 any. 
Situació 4: publicació parcial (manca informació com les mocions o l'apartat de noticies i opinions) de la informació a publicar fa referència a les noticies i opinions generades en virtut de les actuacions tant del govern com de l’oposició i les mocions que l'oposició realitza.
L'ens publica la informació  utilitzant proposta de camps portal transparència AOC (estructura). 
Data actualització: informada i d'acord amb periodicitat recomanda  (vigent) i/o desactualitzada 1 any.
Situació 5: l'ens redacta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les mocions o l'apartat de noticies i opinions) la informació a publicar fa referència a les noticies i opinions generades en virtut de les actuacions tant del govern com de l’oposició i les mocions que l'oposició realitza.
L'ens publica la informació sense utilitzar la proposta de camps portal transparència AOC (estructura).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</si>
  <si>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redirigeix a la web municipal la consulta però l'enllaç està trencat o no funciona.
Data actualització: informada i d'acord amb periodicitat recomanda  (vigent) i/o desactualitzada més d'1 any.
Situació 7: el contingut que s'exposa no correspon al contingut de l'item.  
</t>
  </si>
  <si>
    <t>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Situació 4: l'ens indica que no disposa d'un espai específic per a la publicació d'aquesta informació.
Data actualització: informada i d'acord amb periodicitat recomanda  (vigent)</t>
  </si>
  <si>
    <t xml:space="preserve">Situació 1: publicació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però desactualitzada 1 any.
Situació 2: l'ens redacta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3: l'ens redirigeix a web municipal  i publica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però desactualitzada 1 any. 
Situació 4: publicació parcial (manca informació com per exemple espai d'un grup polític ) de les opinions i propostes fetes pels regidors i per la resta de representants dels grups polítics a través de l’enllaç del butlletí de l’ens local o de l’enllaç a la web del grup polític corresponent.
L'ens publica la informació  utilitzant proposta de camps portal transparència AOC (estructura). 
Data actualització: informada i d'acord amb periodicitat recomanda  (vigent) i/o desactualitzada 1 any.
Situació 5: l'ens redacta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6: l'ens redirigeix a web municipal  i publica parcial (manca informació com per exemple espai d'un grup polític ) les opinions i propostes fetes pels regidors i per la resta de representants dels grups polítics a través de l’enllaç del butlletí de l’ens local o de l’enllaç a la web del grup polític corresponent.
L'ens publica la informació sense utilitzar la proposta de camps portal transparència AOC (estructura). 
Data actualització: informada i d'acord amb periodicitat recomanda  (vigent) i/o desactualitzada 1 any.
Situació 7: l'ens indica que no disposa d'un espai específic per a la publicació d'aquesta informació.
Data actualització: informada però desactualitzada 1 any. </t>
  </si>
  <si>
    <t>Publicació de les resolucions íntegres de les sol·licituds d’accés a la informació pública que hagin estat denegades total o parcialment, de forma anonimitzada.
De forma addicional es podrà publicar una relació de les SAPS rebudes amb les dades següents, en format reutilitzable:
-Identificador expedient.
-Any.
-Data sol·licitud.
-Canal d’entrada.
-Canal resposta.
-Dies resposta.
-Descripció breu de la sol·licitud d’accés.
-Sentit de la resolució (estimada / accés parcial / denegada / inadmesa).
-Motiu de denegació / inadmissió.
Recomanable oferir una visualitació gràfica.
Data actualització: informada i d'acord amb la periodicitat recomanada (any vigent)</t>
  </si>
  <si>
    <t>Situació 1: publicació de la informació de les resolucions de les SAIPS d'acord amb fitxa Municat
Data actualització:  informada però desactualitzada 1 any.
Situació 2: publicació parcial de la informació de les resolucions de les SAIP segonsf fitxa Municat.
Data actualització: informada i d'acord amb la periodicitat recomanada (any vigent)</t>
  </si>
  <si>
    <t xml:space="preserve">Situació 1: item no connectat automàtic segons AOC però l'ens ha facilitat la informació  seguint els camps establerts a la fitxa Municat però no  facilitat en formant reutilitable
Data actualització: informada i  i d'acord amb periodicitat recomanda  (vigent)
Situació 2: item no connectat automàtic segons AOC però l'ens ha facilitat la informació  seguint els camps establerts a la fitxa Municat  i facilitat en formant reutilitable
Data actualització: informada però desactualitzada 1 any.
Situació 3: item no connectat automàtic segons AOC però l'ens ha redirigit a web municipal on es pot consultar la informació seguint els camps establerts a la fitxa Municat i facilitant la informació en format reutilitzable.
Data actualització: informada però desactualitzada 1 any.
Situació 4: item no connectat automàtic segons AOC però l'ens ha redirigit a web municipal on es pot consultart la informació seguint els camps establerts a la fitxa Municat i no facilitant la informació en format reutilitzable.
Data actualització: informada i  i d'acord amb periodicitat recomanda  (vigent)
</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</si>
  <si>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i d'acord amb periodicitat recomanda  (vigent)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i d'acord amb periodicitat recomanda  (vigent)
Situació 3: l'ens indica que no disposa d'un espai específic per a la publicació d'aquesta informació.
Data actualització: informada i d'acord amb periodicitat recomanda  (vigent)</t>
  </si>
  <si>
    <t>Situació 1: publicació de 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utilitzant proposta de camps portal transparència AOC (estructura). 
Data actualització: informada però desactualitzada 1 any.
Situació 2: l'ens redacta i publicales directives, les instruccions, les circulars i les respostes anonimitzades a consultes plantejades que tinguin una incidència especial sobre la interpretació, vigència i l’aplicació de les normes, canviïn criteris respecte d’actuacions precedents o adoptin criteris de prioritat d’aplicació en cas de concurrència de normes. Informació a publicar: Títol, Descripció, Document.
L'ens publica la informació sense utilitzar la proposta de camps portal transparència AOC (estructura). 
Data actualització: informada però desactualitzada 1 any.
Situació 3: l'ens indica que no disposa d'un espai específic per a la publicació d'aquesta informació.
Data actualització: informada però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</si>
  <si>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6: l'ens indica que no disposa d'un espai específic per a la publicació d'aquesta informació.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</si>
  <si>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i d'acord amb periodicitat recomanda  (vigent)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i d'acord amb periodicitat recomanda  (vigent)
Situació 3: l'ens indica que no disposa d'informació de projectes normatius en aquests moments.
Data actualització: informada i d'acord amb periodicitat recomanda  (vigent)</t>
  </si>
  <si>
    <t xml:space="preserve">Situació 1: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publica la informació  utilitzant proposta de camps portal transparència AOC (estructura). 
Data actualització: informada però desactualitzada 1 any.
Situació 2: En relació amb els projectes normatius en curs d’elaboració –ordenances, reglaments, ordenances fiscals i planejament dels ens locals-, és a dir, aquells que encara estan en tramitació i no s’han aprovat definitivament ni publicat s’ha d’informar en el portal en tot moment l’estat de tramitació en el qual es troben. 
Publicació de Núm. expedient, Títol projecte, Descripció, Documents. Veure amb detall la fitxa de Municat pel que fa a les memòries i documents justificatius de la tramitació dels projectes o avantprojectes normatius.
L'ens redacta i publica la informació sense utilitzar la proposta de camps portal transparència AOC (estructura). 
Data actualització: informada però desactualitzada 1 any.
Situació 3: l'ens indica que no disposa d'informació de projectes normatius en aquests moments.
Data actualització: informada però desactualitzada 1 any.
</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</si>
  <si>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indica que no disposa d'informació de projectes normatius en aquests moments.
Data actualització:informada però desactualitzada més de 2 anys.
Situació 6:  l'ens redirigeix a la web municipal la consulta de la informació correcta seguint indicacions proposta de camps portal transparència AOC i fitxa Municat (no utilització camps estructurats AOC)
Data actualització: informada i d'acord amb periodicitat recomanda  (vigent) i/o desactualitzada 1 any o endavant.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</si>
  <si>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i d'acord amb periodicitat recomanda  (vigent)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i d'acord amb periodicitat recomanda  (vigent)
Situació 3: l'ens indica que no disposa d'informació d'avaluacions de l'apliació de les normes en aquests moments.
Data actualització: informada i d'acord amb periodicitat recomanda  (vigent)</t>
  </si>
  <si>
    <t>Situació 1: Fa referència a una avaluació ex post dels resultats assolits per, si escau, incidir en la revisió de la norma corresponent. Informació a publicar: Títol, Descripció, Document. 
L'ens publica la informació  utilitzant proposta de camps portal transparència AOC (estructura). 
Data actualització: informada però desactualitzada 1 any.
Situació 2: Fa referència a una avaluació ex post dels resultats assolits per, si escau, incidir en la revisió de la norma corresponent. Informació a publicar: Títol, Descripció, Document.E
L'ens redacta i publica la informació sense utilitzar la proposta de camps portal transparència AOC (estructura). 
Data actualització: informada però desactualitzada 1 any.
Situació 3: l'ens indica que no disposa d'informació d'avaluacions de l'apliació de les normes en aquests moments.
Data actualització: informada però desactualitzada 1 any.</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</si>
  <si>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i d'acord amb periodicitat recomanda  (vigent)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i d'acord amb periodicitat recomanda  (vigent)
Situació 3: l'ens indica que no disposa d'informació d'avaluacions de plans i programes destacats sobre polítiques públiques en aquests moments.
Data actualització: informada i d'acord amb periodicitat recomanda  (vigent)
Situació 4: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t>
  </si>
  <si>
    <t>Situació 1: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utilitzant proposta de camps portal transparència AOC (estructura). 
Data actualització: informada però desactualitzada 1 any.
Situació 2: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sense utilitzar la proposta de camps portal transparència AOC (estructura). 
Data actualització: informada però desactualitzada 1 any.
Situació 3: l'ens indica que no disposa d'informació d'avaluacions de plans i programes destacats sobre polítiques públiques en aquests moments.
Data actualització: informada però desactualitzada 1 any.
Situació 4: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publica la informació parcial (manca informació) utilitzant proposta de camps portal transparència AOC (estructura). 
Data actualització: informada i d'acord amb periodicitat recomanda  (vigent) i/o desactualitzada 1 any.
Situació 5: Publicació dels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Informació:Data, Títol, Descripció, Àmbit, Document.
L'ens redacta i publica la informació parcial (manca informació) sense utilitzar la proposta de camps portal transparència AOC (estructura). 
Data actualització: informada i d'acord amb periodicitat recomanda  (vigent) i/o desactualitzada 1 any.
Situació 6: l'ens redirigeix a web municipal on publica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però desactualitzada 1 any.
Situació 7: l'ens redirigeix a web municipal on publica parcial (manca informació) els plans i els programes anuals i pluriennals, de caràcter general o sectorial, que estableixen les directrius estratègiques de les polítiques públiques (com són, per exemple, plans de joventut, plans estratègics, plans d’accessibilitat, plans de participació ciutadana , plans d’igualtat, programes d’actuacions municipals –PAM-, etc.). Així com les seves modificacions. També les auditories internes i externes d’avaluació de la qualitat dels serveis públics. (d'acord amb fitxa Municat)
Informació:Data, Títol, Descripció, Àmbit, Document.
Data actualització: informada i d'acord amb periodicitat recomanda  (vigent) i/o desactualitzada 1 any.</t>
  </si>
  <si>
    <t xml:space="preserve">Situació 1: item no visible.
Situació 2:  item actiu (es visualitza el títol de l'item) però no té contingut  i no s'explica el motiu de la no informació. (és com no tenir visible).
Situació 3:  explicació correcta utilitzant proposta de camps portal transparència AOC (estructura).
Data actualització:informada però desactualitzada més de 2 anys.
Situació 4:  l'ens ha redactat la informació correcta seguint indicacions proposta de camps portal transparència AOC i fitxa Municat (no utilització camps estructurats AOC)
Data actualització:informada però desactualitzada més de 2 anys.
Situació 5:  l'ens redirigeix a la web municipal la consulta de la informació correcta seguint indicacions proposta de camps portal transparència AOC i fitxa Municat (no utilització camps estructurats AOC)
Data actualització:informada però desactualitzada més de 2 anys.
Situació 6: l'ens indica que no disposa d'informació d'avaluacions de plans i programes destacats sobre polítiques públiques en aquests moments.
Data actualització:informada però desactualitzada més de 2 anys.
Situació 7:  l'ens redirigeix a la web municipal la consulta però l'enllaç està trencat o no funciona.
Data actualització: informada i d'acord amb periodicitat recomanda  (vigent) i/o desactualitzada més d'1 any.
Situació 8: el contingut que s'exposa no correspon al contingut de l'item. 
</t>
  </si>
  <si>
    <t xml:space="preserve">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i d'acord amb periodicitat recomanda  (vigent)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i d'acord amb periodicitat recomanda  (vigent)
Situació 3: l'ens indica que no realitza ni disposa de pla normatiu en aquests moments.
Data actualització: informada i d'acord amb periodicitat recomanda  (vigent)
</t>
  </si>
  <si>
    <t>Situació 1: Publicació de les iniciatives reglamentàries que han de ser aprovades durant l’any següent, incloent per tant, les disposicions que l’ens local té previst aprovar i/o modificar. Informació a publicar: Data, Títol, Descripció, Àmbit, Document.
L'ens publica la informació  utilitzant proposta de camps portal transparència AOC (estructura). 
Data actualització: informada però desactualitzada 1 any.
Situació 2: Publicació de les iniciatives reglamentàries que han de ser aprovades durant l’any següent, incloent per tant, les disposicions que l’ens local té previst aprovar i/o modificar. Informació a publicar: Data, Títol, Descripció, Àmbit, Document.
L'ens redacta i publica la informació sense utilitzar la proposta de camps portal transparència AOC (estructura). 
Data actualització: informada però desactualitzada 1 any.
Situació 3: l'ens indica que no realitza ni diposa de pla normatiu en aquests moments.
Data actualització: informada però desactualitzada 1 any.
Situació 4: l'ens redirigeix a web municipal on publica la informació sobre Pla normatiu seguint fitxa Municat.
Data actualització: informada i d'acord amb periodicitat recomanda  (vigent) i/o desactualitzada 1 any.</t>
  </si>
  <si>
    <t>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i d'acord amb periodicitat recomanda  (vigent)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i d'acord amb periodicitat recomanda  (vigent)
Situació 3: l'ens indica que no realitza ni disposa d'estudis d'impacte ambiental i paisatgistic en aquests moments.
Data actualització: informada i d'acord amb periodicitat recomanda  (vigent)
Situació 4: l'ens redirigeix a web municipal on publica la informació d'estudis d'impacte ambienta i paisatgistic d'acord amb fitxa Municat.
Data actualització: informada i d'acord amb periodicitat recomanda  (vigent)</t>
  </si>
  <si>
    <t xml:space="preserve">Situació 1: Publicació dels estudis i informes d’impacte i integració paisatgística que afecten l’àmbit territorial de l’ens local. Informació a publicar: Títol, Descripció, Documents.
L'ens publica la informació  utilitzant proposta de camps portal transparència AOC (estructura). 
Data actualització: informada però desactualitzada 1 any.
Situació 2: Publicació dels estudis i informes d’impacte i integració paisatgística que afecten l’àmbit territorial de l’ens local. Informació a publicar: Títol, Descripció, Documents.
L'ens redacta i publica la informació sense utilitzar la proposta de camps portal transparència AOC (estructura). 
Data actualització: informada però desactualitzada 1 any.
Situació 3: l'ens indica que no realitza ni disposa d'estudis d'impacte ambienta i paisatgistic en aquests moments.
Data actualització: informada però desactualitzada 1 any.
Situació 4: l'ens redirigeix a web municipal on publica la informació d'estudis d'impacte ambienta i paisatgistic d'acord amb fitxa Municat.
Data actualització: informada però desactualitzada 1 any.
</t>
  </si>
  <si>
    <t>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recomanda  (vigent)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recomanda  (vigent)
[NOTA: recomanació tenir com a referència de redactat el treball realitzat per DIBA-GID: https://pre.seu-e.cat/ca/web/veciana/govern-obert-i-transparencia/accio-de-govern-i-normativa/gestio-documental-i-arxiu/calendari-de-conservacio-i-regim-d-acces-documental]</t>
  </si>
  <si>
    <t>Situació 1: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però desactualitzada 1 any.
Situació 2: Publicació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però desactualitzada 1 any.
Situació 3: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publica la informació  utilitzant proposta de camps portal transparència AOC (estructura). 
Data actualització: informada i d'acord amb periodicitat (vigent) i/o desactualitzada 1 any
Situació 4: Publicació parcial (manca informació) del calendari de conservació i règim d’accés a la documentació de l’ens, un instrument que recull, de manera essencial, els terminis de conservació, transferència i règim d’accés de cada sèrie documental. Informació a publicar: Codi TAAD, Ordre, DOGC, Títol de la sèrie documental, Codi de classificació, Disposició, Termini, Organisme productor, Règim d’accés, Motivació, Vigència de la restricció, Fonamentació jurídica.
L'ens redacta i publica la informació sense utilitzar la proposta de camps portal transparència AOC (estructura). 
Data actualització: informada i d'acord amb periodicitat (vigent) i/o desactualitzada 1 any
[NOTA: recomanació tenir com a referència de redactat el treball realitzat per DIBA-GID: https://pre.seu-e.cat/ca/web/veciana/govern-obert-i-transparencia/accio-de-govern-i-normativa/gestio-documental-i-arxiu/calendari-de-conservacio-i-regim-d-acces-documental]</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</si>
  <si>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[NOTA: recomanació tenir com a referència de redactat el treball realitzat per DIBA-GID: https://pre.seu-e.cat/ca/web/veciana/govern-obert-i-transparencia/accio-de-govern-i-normativa/gestio-documental-i-arxiu/quadre-de-classificacio-documental]</t>
  </si>
  <si>
    <t>Situació 1: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però desactualitzada 1 any.
Situació 2: Publicació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però desactualitzada 1 any.
Situació 3: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publica la informació  utilitzant proposta de camps portal transparència AOC (estructura). 
Data actualització: informada i d'acord amb periodicitat recomanda  (vigent) i/o desactualitzada 1 any.
Situació 4: Publicació parcial (manca informació) del quadre de classificació documental, que és l’estructura jeràrquica i lògica de conceptes que reflecteix les diferents funcions, activitats i transaccions de l’organització i que permet identificar i agrupar físicament o intel·lectualment els documents i també la seva recuperació. Informació a publicar: Data, Títol, Descripció, Documents.
L'ens redacta i publica la informació sense utilitzar la proposta de camps portal transparència AOC (estructura). 
Data actualització: informada i d'acord amb periodicitat recomanda  (vigent) i/o desactualitzada 1 any.
[NOTA: recomanació tenir com a referència de redactat el treball realitzat per DIBA-GID: https://pre.seu-e.cat/ca/web/veciana/govern-obert-i-transparencia/accio-de-govern-i-normativa/gestio-documental-i-arxiu/quadre-de-classificacio-documental]</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</si>
  <si>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[NOTA: recomanació tenir com a referència de redactat el treball realitzat per DIBA-GID: https://pre.seu-e.cat/ca/web/veciana/govern-obert-i-transparencia/accio-de-govern-i-normativa/gestio-documental-i-arxiu/instruments-de-descripcio-documental]</t>
  </si>
  <si>
    <t>Situació 1: Publicació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però desactualitzada 1 any.
Situació 2: Publicació Publicació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però desactualitzada 1 any.
Situació 3: Publicació parcial (manca informació) dels instruments de descripció documental. Els diferents instruments de descripció que elaboren els arxivers/es, són l’element clau per identificar, localitzar i controlar la documentació. Informació a publicar: Descripció, Documents.
L'ens publica la informació  utilitzant proposta de camps portal transparència AOC (estructura). 
Data actualització: informada i d'acord amb periodicitat recomanda  (vigent) i/o desactualitzada 1 any.
Situació 4: Publicació parcial (manca informació) dels instruments de descripció documental. Els diferents instruments de descripció que elaboren els arxivers/es, són l’element clau per identificar, localitzar i controlar la documentació. Informació a publicar: Descripció, Documents.
L'ens redacta i publica la informació sense utilitzar la proposta de camps portal transparència AOC (estructura). 
Data actualització: informada i d'acord amb periodicitat recomanda  (vigent) i/o desactualitzada 1 any.
[NOTA: recomanació tenir com a referència de redactat el treball realitzat per DIBA-GID: https://pre.seu-e.cat/ca/web/veciana/govern-obert-i-transparencia/accio-de-govern-i-normativa/gestio-documental-i-arxiu/instruments-de-descripcio-documental]</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</si>
  <si>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i d'acord amb periodicitat recomanda  (vigent)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espais de participació que té.
Data actualització: informada i d'acord amb periodicitat recomanda  (vigent)</t>
  </si>
  <si>
    <t>Situació 1:Publicació i descripció dels diferents canals de participació ciutadana que té l’ens local, per tal de fer-ne difusió. Informació a publicar: Espai de participació, Descripció, Enllaç, Documents, Més informació.
L'ens publica la informació  utilitzant proposta de camps portal transparència AOC (estructura). 
Data actualització: informada però desactualitzada 1 any.
Situació 2: Publicació i descripció dels diferents canals de participació ciutadana que té l’ens local, per tal de fer-ne difusió. Informació a publicar: Espai de participació, Descripció, Enllaç, Documents, Més informació.
L'ens redacta i publica la informació sense utilitzar la proposta de camps portal transparència AOC (estructura). 
Data actualització: informada però desactualitzada 1 any.
Situació 3: l'ens redirigeix a web municipal on facilita la informació i accés als diferents espais de participació que té.
Data actualització: informada però desactualitzada 1 any.</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</si>
  <si>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i d'acord amb periodicitat recomanda  (vigent)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i d'acord amb periodicitat recomanda  (vigent)
Situació 3: l'ens redirigeix a web municipal on facilita la informació i accés a les diferents xarxes socials de l'ens.
Data actualització: informada i d'acord amb periodicitat recomanda  (vigent)</t>
  </si>
  <si>
    <t>Situació 1:Publicació dels diferents enllaços que apuntaran a les xarxes socials institucionals en què l’ens estigui present: Facebook, Twitter, Instagram, YouTube, etc.
L'ens publica la informació  utilitzant proposta de camps portal transparència AOC (estructura). 
Data actualització: informada però desactualitzada 1 any.
Situació 2: Publicació dels diferents enllaços que apuntaran a les xarxes socials institucionals en què l’ens estigui present: Facebook, Twitter, Instagram, YouTube, etc. informació.
L'ens redacta i publica la informació sense utilitzar la proposta de camps portal transparència AOC (estructura). 
Data actualització: informada però desactualitzada 1 any.
Situació 3: l'ens redirigeix a web municipal on facilita la informació i accés a les diferents xarxes socials de l'ens.
Data actualització: informada però desactualitzada 1 any.</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</si>
  <si>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i d'acord amb periodicitat recomanda  (vigent)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i d'acord amb periodicitat recomanda  (vigent)
Situació 3: l'ens redirigeix a web municipal on facilita la informació i accés als diferents processos participatius en tràmit.
Data actualització: informada i d'acord amb periodicitat recomanda  (vigent)</t>
  </si>
  <si>
    <t>Situació 1:Publicació dels procediments participatius en tràmit de l’ens local. Informació a publicar: Procés participatiu, Descripció, Dades de contacte, Data inici, Data fi.
L'ens publica la informació  utilitzant proposta de camps portal transparència AOC (estructura). 
Data actualització: informada però desactualitzada 1 any.
Situació 2: Publicació dels procediments participatius en tràmit de l’ens local. Informació a publicar: Procés participatiu, Descripció, Dades de contacte, Data inici, Data fi.
L'ens redacta i publica la informació sense utilitzar la proposta de camps portal transparència AOC (estructura). 
Data actualització: informada però desactualitzada 1 any.
Situació 3: l'ens redirigeix a web municipal on facilita la informació i accés als diferents processos participatius en tràmit.
Data actualització: informada però desactualitzada 1 any.</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</si>
  <si>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i d'acord amb periodicitat recomanda  (vigent)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i d'acord amb periodicitat recomanda  (vigent)</t>
  </si>
  <si>
    <t>Situació 1:Publicació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publica la informació  utilitzant proposta de camps portal transparència AOC (estructura). 
Data actualització: informada però desactualitzada 1 any.
Situació 2: Publicació de la informació pública demanada de manera freqüent.  La informació es considerarà sol·licitada de manera freqüent quan la mateixa informació, a la qual s'hagi reconegut tenir dret a accedir, hagi estat sol·licitada tres o més vegades en un període d'un any natural per persones sol·licitants diferents. Informació a publicar: Consulta, Data, Resposta 
L'ens redacta i publica la informació sense utilitzar la proposta de camps portal transparència AOC (estructura). 
Data actualització: informada però desactualitzada 1 any.</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</si>
  <si>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i d'acord amb periodicitat recomanda  (vigent)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 normativa de participació ciutadana
Data actualització: informada i d'acord amb periodicitat recomanda  (vigent)</t>
  </si>
  <si>
    <t>Situació 1:Publicació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publica la informació  utilitzant proposta de camps portal transparència AOC (estructura). 
Data actualització: informada però desactualitzada 1 any.
Situació 2: Publicació de la informació sobre les normes i directrius que l’ens local hagi aprovat en matèria de participació ciutadana i, per tant, sobre el Reglament de participació ciutadana que hagi aprovat. Informació a publicar: Nom del document, Descripció, Data d’aprovació, Documents.
L'ens redacta i publica la informació sense utilitzar la proposta de camps portal transparència AOC (estructura). 
Data actualització: informada però desactualitzada 1 any.
Situació 3: l'ens redirigeix a web municipal on facilita la informació i accés a la informació sobre la normativa de participació ciutadana
Data actualització: informada però desactualitzada 1 any.</t>
  </si>
  <si>
    <t>Situació 1:Publicació d'una relació de les associacions i un enllaç a les agendes i activitats d’aquestes.
L'ens publica la informació  utilitzant proposta de camps portal transparència AOC (estructura). 
Data actualització: informada i d'acord amb periodicitat recomanda  (vigent)
Situació 2: Publicació d'una relació de les associacions i un enllaç a les agendes i activitats d’aquestes.
L'ens redacta i publica la informació sense utilitzar la proposta de camps portal transparència AOC (estructura). 
Data actualització: informada i d'acord amb periodicitat recomanda  (vigent)
Situació 3: l'ens redirigeix a web municipal on facilita la informació i accés a la informació sobre l'agenda i activitats de les associacions
Data actualització: informada i d'acord amb periodicitat recomanda  (vigent)</t>
  </si>
  <si>
    <t>Situació 1:Publicació d'una relació de les associacions i un enllaç a les agendes i activitats d’aquestes.
L'ens publica la informació  utilitzant proposta de camps portal transparència AOC (estructura). 
Data actualització: informada però desactualitzada 1 any.
Situació 2: Publicació d'una relació de les associacions i un enllaç a les agendes i activitats d’aquestes.
L'ens redacta i publica la informació sense utilitzar la proposta de camps portal transparència AOC (estructura). 
Data actualització: informada però desactualitzada 1 any.
Situació 3: l'ens redirigeix a web municipal on facilita la informació i accés a la informació sobre l'agenda i activitats de les associacions
Data actualització: informada però desactualitzada 1 any.</t>
  </si>
  <si>
    <t>Fitxa municat</t>
  </si>
  <si>
    <t>Tipus d'ens</t>
  </si>
  <si>
    <t>Ajuntament</t>
  </si>
  <si>
    <t>Consell comarcal</t>
  </si>
  <si>
    <t>Diputació</t>
  </si>
  <si>
    <t>Entitat metropolitana</t>
  </si>
  <si>
    <t>Entitat municipal descentralitzada</t>
  </si>
  <si>
    <t>Mancomunitat de municipis</t>
  </si>
  <si>
    <t>Aran</t>
  </si>
  <si>
    <t>Organismes autònom local</t>
  </si>
  <si>
    <t>Entitat pública empresarial local</t>
  </si>
  <si>
    <t>Societat mercantil local de capital íntegrament públic</t>
  </si>
  <si>
    <t>Societat mercantil local de capital mixt</t>
  </si>
  <si>
    <t>Consorci local</t>
  </si>
  <si>
    <t>Fundació local</t>
  </si>
  <si>
    <t>Fase d'avaluació</t>
  </si>
  <si>
    <t>Xarxa de Governs Oberts de Catalunya</t>
  </si>
  <si>
    <t>N/A</t>
  </si>
  <si>
    <t>Ítem</t>
  </si>
  <si>
    <t>A qui afecta?</t>
  </si>
  <si>
    <t>Tots els ajuntaments</t>
  </si>
  <si>
    <t>Qui formi part d’altres organismes
(mancomunitat, associacions etc.)</t>
  </si>
  <si>
    <t>NO afecta als ajuntaments</t>
  </si>
  <si>
    <t xml:space="preserve">
Tots els ajuntaments</t>
  </si>
  <si>
    <t>Tots els ajuntaments que tinguin entitats obligades
a subministrar informació d’acord amb l’article 8 del DTC</t>
  </si>
  <si>
    <t>Ajuntaments de més de 20.000 habitants i de menys que ho hagin acordat</t>
  </si>
  <si>
    <t>Tots els ajuntaments (encara que  segurament els petits no tindran)</t>
  </si>
  <si>
    <t>Afecta a ajuntaments de 6 o més funcionaris i/o de 6  fins a 10 laborals que tinguin DP i/o ajuntaments de més de 10 laborals (Ajuntaments de sis o més funcionaris ( art. 39  TREBEP), tenen Delegat de personal. Ajuntaments de sis o més laborals( fins 10) potestatiu tenir Delegat de personal. Article 62 TRET)</t>
  </si>
  <si>
    <t>Afecta a: ajuntaments que tinguin contractat  empreses que el personal treballi a les dependencias  municipals</t>
  </si>
  <si>
    <t>Als ajuntaments que atorguin subvencions a empreses per import superior a 10.000€</t>
  </si>
  <si>
    <t>Tots els ajuntaments, amb l'excepció de l'article 16 de l'Ordre HAP/2105/2012</t>
  </si>
  <si>
    <t>Tots els ajuntaments 
(aprovació abans de l'1 de març
 de cada any).</t>
  </si>
  <si>
    <t>- 4rt. Trimestre a tots els ajuntaments:  s’envia( abans 31 de gener de cada any)
- 1r  2n i 3r. Trimestre: ajuntaments amb població superior a 5.000 habitants</t>
  </si>
  <si>
    <t>Tots els ajuntaments que realitzin  publicittat institucional</t>
  </si>
  <si>
    <t xml:space="preserve">A tots els ajuntaments que tinguin : Organismes Autònoms,
 EPEs, Fundacions locals, Consorcis  i societats mercantils </t>
  </si>
  <si>
    <t>Afecta a ajuntaments amb població superior a 5.000 habitants i als que l’hagin acordat crear</t>
  </si>
  <si>
    <t>Tots els ajuntaments que tinguin:
-Organismes autònoms.
-Entitats públiques empresarials.
-Societats mercantils locals o be amb participació majoritària local o vinculades.
-Fundacions del sector públic local.
-Consorcis adscrits a l’entitat local.
També a les mancomunitats de municipis.</t>
  </si>
  <si>
    <t>Als ajuntaments que els hagin aprovat  ( l’aprovació de plecs generals és  potestativa. Art. 121 LCSP)</t>
  </si>
  <si>
    <t xml:space="preserve">Tots els ajuntaments
</t>
  </si>
  <si>
    <t>Nom de l’ens:</t>
  </si>
  <si>
    <t>Tipus d’ens:</t>
  </si>
  <si>
    <t>Fase de l’avaluació:</t>
  </si>
  <si>
    <t>Núm. d’ítems avaluats:</t>
  </si>
  <si>
    <t>Any de l’avaluació:</t>
  </si>
  <si>
    <t>Data de realització de l’avaluació:</t>
  </si>
  <si>
    <t>Total</t>
  </si>
  <si>
    <t>Valors avaluació</t>
  </si>
  <si>
    <t>Nivell</t>
  </si>
  <si>
    <t>Aplica</t>
  </si>
  <si>
    <t>Columna</t>
  </si>
  <si>
    <t>Total ítems</t>
  </si>
  <si>
    <t>Ítems avaluats</t>
  </si>
  <si>
    <t>Compleix totalment</t>
  </si>
  <si>
    <t>No aplicable</t>
  </si>
  <si>
    <t>Subtotal</t>
  </si>
  <si>
    <t>Diferència</t>
  </si>
  <si>
    <t>Totals</t>
  </si>
  <si>
    <t>Fases avaluades:</t>
  </si>
  <si>
    <t>Acumulat</t>
  </si>
  <si>
    <t>1 i 2</t>
  </si>
  <si>
    <t>1, 2 i 3</t>
  </si>
  <si>
    <t>1, 2, 3 i 4</t>
  </si>
  <si>
    <t>1, 2, 3, 4 i 5</t>
  </si>
  <si>
    <t>Data de l'avaluació:</t>
  </si>
  <si>
    <t>Fase</t>
  </si>
  <si>
    <t>Contingut (ítems)</t>
  </si>
  <si>
    <t>Actualització (ítems)</t>
  </si>
  <si>
    <t>Indicadors:</t>
  </si>
  <si>
    <t>Visió general del compliment de les obligacions de transparència</t>
  </si>
  <si>
    <t>Compliment de les fases avaluades</t>
  </si>
  <si>
    <t>Resultats de l'avaluació per famílies i subfamílies</t>
  </si>
  <si>
    <t>Prioritat</t>
  </si>
  <si>
    <t>Trimestral &gt; 5.000 hab.
Anual &lt; 5.000 hab.</t>
  </si>
  <si>
    <t>Mensual  &gt; 20.000 hab.
Bimensual &lt; 20.000 hab. i &gt; 5.000 hab.
Trimestral &lt; 5.000 hab.</t>
  </si>
  <si>
    <t>Revisió/actualització</t>
  </si>
  <si>
    <t>Compliment ponderat</t>
  </si>
  <si>
    <t>Codi bis</t>
  </si>
  <si>
    <t>Codi Municat</t>
  </si>
  <si>
    <t>Tots els ajuntaments que tinguin ens dependents</t>
  </si>
  <si>
    <t>Personal eventual: art. 104 bis LRBRL. Ajuntaments de menys de 2.000 habitants no poden tenir eventuals. Municipis entre 2.000 a 5.000 habitants poden ternir 1 eventual si no n’hi ha cap membre de la corporació amb dedicació exclusiva.                            Personal directiu: Els càrrecs electes tenen la consideración d’alts càrrecs, però entenc que els càrrecs electes ja s’han publicat al ítem 1.2.2</t>
  </si>
  <si>
    <t>Tipus ítem</t>
  </si>
  <si>
    <t>Enllaç Municat</t>
  </si>
  <si>
    <t>Equivalència avaluació Síndic</t>
  </si>
  <si>
    <t>Obligació normativa sectorial</t>
  </si>
  <si>
    <t>Exemples Compleix Totalment</t>
  </si>
  <si>
    <t>Exemples Compleix Parcialment</t>
  </si>
  <si>
    <t>Exemples No Compleix</t>
  </si>
  <si>
    <t>Criteris No aplica</t>
  </si>
  <si>
    <t>XGO001</t>
  </si>
  <si>
    <t>XGO002</t>
  </si>
  <si>
    <t>XGO003</t>
  </si>
  <si>
    <t>XGO004</t>
  </si>
  <si>
    <t>XGO005</t>
  </si>
  <si>
    <t>XGO045</t>
  </si>
  <si>
    <t>XGO006</t>
  </si>
  <si>
    <t>XGO007</t>
  </si>
  <si>
    <t>XGO008</t>
  </si>
  <si>
    <t>XGO009</t>
  </si>
  <si>
    <t>XGO010</t>
  </si>
  <si>
    <t>XGO011</t>
  </si>
  <si>
    <t>XGO012</t>
  </si>
  <si>
    <t>XGO013</t>
  </si>
  <si>
    <t>XGO014</t>
  </si>
  <si>
    <t>XGO015</t>
  </si>
  <si>
    <t>XGO016</t>
  </si>
  <si>
    <t>XGO017</t>
  </si>
  <si>
    <t>XGO018</t>
  </si>
  <si>
    <t>XGO019</t>
  </si>
  <si>
    <t>XGO020</t>
  </si>
  <si>
    <t>XGO021</t>
  </si>
  <si>
    <t>XGO022</t>
  </si>
  <si>
    <t>XGO023</t>
  </si>
  <si>
    <t>XGO024</t>
  </si>
  <si>
    <t>XGO025</t>
  </si>
  <si>
    <t>XGO026</t>
  </si>
  <si>
    <t>XGO027</t>
  </si>
  <si>
    <t>XGO028</t>
  </si>
  <si>
    <t>XGO029</t>
  </si>
  <si>
    <t>XGO030</t>
  </si>
  <si>
    <t>XGO031</t>
  </si>
  <si>
    <t>XGO032</t>
  </si>
  <si>
    <t>XGO033</t>
  </si>
  <si>
    <t>XGO034</t>
  </si>
  <si>
    <t>XGO035</t>
  </si>
  <si>
    <t>XGO036</t>
  </si>
  <si>
    <t>XGO037</t>
  </si>
  <si>
    <t>XGO079</t>
  </si>
  <si>
    <t>XGO080</t>
  </si>
  <si>
    <t>XGO081</t>
  </si>
  <si>
    <t>XGO082</t>
  </si>
  <si>
    <t>XGO083</t>
  </si>
  <si>
    <t>XGO084</t>
  </si>
  <si>
    <t>XGO085</t>
  </si>
  <si>
    <t>XGO086</t>
  </si>
  <si>
    <t>XGO087</t>
  </si>
  <si>
    <t>XGO088</t>
  </si>
  <si>
    <t>XGO089</t>
  </si>
  <si>
    <t>XGO090</t>
  </si>
  <si>
    <t>XGO091</t>
  </si>
  <si>
    <t>XGO092</t>
  </si>
  <si>
    <t>XGO093</t>
  </si>
  <si>
    <t>XGO094</t>
  </si>
  <si>
    <t>XGO095</t>
  </si>
  <si>
    <t>XGO096</t>
  </si>
  <si>
    <t>XGO097</t>
  </si>
  <si>
    <t>XGO098</t>
  </si>
  <si>
    <t>XGO099</t>
  </si>
  <si>
    <t>XGO100</t>
  </si>
  <si>
    <t>XGO101</t>
  </si>
  <si>
    <t>XGO102</t>
  </si>
  <si>
    <t>XGO103</t>
  </si>
  <si>
    <t>XGO104</t>
  </si>
  <si>
    <t>XGO105</t>
  </si>
  <si>
    <t>XGO106</t>
  </si>
  <si>
    <t>XGO107</t>
  </si>
  <si>
    <t>XGO108</t>
  </si>
  <si>
    <t>XGO109</t>
  </si>
  <si>
    <t>XGO110</t>
  </si>
  <si>
    <t>XGO111</t>
  </si>
  <si>
    <t>XGO112</t>
  </si>
  <si>
    <t>XGO113</t>
  </si>
  <si>
    <t>XGO114</t>
  </si>
  <si>
    <t>XGO115</t>
  </si>
  <si>
    <t>XGO116</t>
  </si>
  <si>
    <t>XGO117</t>
  </si>
  <si>
    <t>XGO124</t>
  </si>
  <si>
    <t>XGO118</t>
  </si>
  <si>
    <t>XGO119</t>
  </si>
  <si>
    <t>XGO120</t>
  </si>
  <si>
    <t>XGO121</t>
  </si>
  <si>
    <t>XGO122</t>
  </si>
  <si>
    <t>XGO123</t>
  </si>
  <si>
    <t>XGO125</t>
  </si>
  <si>
    <t>XGO126</t>
  </si>
  <si>
    <t>XGO127</t>
  </si>
  <si>
    <t>XGO128</t>
  </si>
  <si>
    <t>XGO129</t>
  </si>
  <si>
    <t>XGO130</t>
  </si>
  <si>
    <t>XGO131</t>
  </si>
  <si>
    <t>XGO132</t>
  </si>
  <si>
    <t>XGO133</t>
  </si>
  <si>
    <t>XGO134</t>
  </si>
  <si>
    <t>XGO135</t>
  </si>
  <si>
    <t>XGO136</t>
  </si>
  <si>
    <t>XGO137</t>
  </si>
  <si>
    <t>XGO139</t>
  </si>
  <si>
    <t>XGO138</t>
  </si>
  <si>
    <t>XGO046</t>
  </si>
  <si>
    <t>XGO047</t>
  </si>
  <si>
    <t>XGO048</t>
  </si>
  <si>
    <t>XGO049</t>
  </si>
  <si>
    <t>XGO050</t>
  </si>
  <si>
    <t>XGO051</t>
  </si>
  <si>
    <t>XGO052</t>
  </si>
  <si>
    <t>XGO053</t>
  </si>
  <si>
    <t>XGO054</t>
  </si>
  <si>
    <t>XGO055</t>
  </si>
  <si>
    <t>XGO056</t>
  </si>
  <si>
    <t>XGO057</t>
  </si>
  <si>
    <t>XGO058</t>
  </si>
  <si>
    <t>XGO059</t>
  </si>
  <si>
    <t>XGO060</t>
  </si>
  <si>
    <t>XGO061</t>
  </si>
  <si>
    <t>XGO062</t>
  </si>
  <si>
    <t>XGO068</t>
  </si>
  <si>
    <t>XGO069</t>
  </si>
  <si>
    <t>XGO063</t>
  </si>
  <si>
    <t>XGO064</t>
  </si>
  <si>
    <t>XGO065</t>
  </si>
  <si>
    <t>XGO066</t>
  </si>
  <si>
    <t>XGO067</t>
  </si>
  <si>
    <t>XGO070</t>
  </si>
  <si>
    <t>XGO071</t>
  </si>
  <si>
    <t>XGO072</t>
  </si>
  <si>
    <t>XGO073</t>
  </si>
  <si>
    <t>XGO074</t>
  </si>
  <si>
    <t>XGO075</t>
  </si>
  <si>
    <t>XGO076</t>
  </si>
  <si>
    <t>XGO077</t>
  </si>
  <si>
    <t>XGO078</t>
  </si>
  <si>
    <t>XGO141</t>
  </si>
  <si>
    <t>XGO142</t>
  </si>
  <si>
    <t>XGO143</t>
  </si>
  <si>
    <t>XGO144</t>
  </si>
  <si>
    <t>XGO145</t>
  </si>
  <si>
    <t>XGO042</t>
  </si>
  <si>
    <t>XGO146</t>
  </si>
  <si>
    <t>XGO147</t>
  </si>
  <si>
    <t>XGO043</t>
  </si>
  <si>
    <t>XGO038</t>
  </si>
  <si>
    <t>XGO039</t>
  </si>
  <si>
    <t>XGO040</t>
  </si>
  <si>
    <t>XGO041</t>
  </si>
  <si>
    <t>XGO044</t>
  </si>
  <si>
    <t>XGO140</t>
  </si>
  <si>
    <t>Bon Govern i Integritat Pública</t>
  </si>
  <si>
    <t>1.5.7</t>
  </si>
  <si>
    <t xml:space="preserve">Automàtic amb dades obertes (A) </t>
  </si>
  <si>
    <t>Retribució dels directius beneficiaris de subvencions</t>
  </si>
  <si>
    <t>Automàtic amb descripció per defecte (A)</t>
  </si>
  <si>
    <t>1.5.5</t>
  </si>
  <si>
    <t>Sistema d'Integritat Institucional</t>
  </si>
  <si>
    <t>1.5.1</t>
  </si>
  <si>
    <t>Pla de mesures antifrau</t>
  </si>
  <si>
    <t>1.5.2</t>
  </si>
  <si>
    <t>Declaració institucional d’impuls de la política d’integritat i de lluita contra el frau</t>
  </si>
  <si>
    <t>1.5.3</t>
  </si>
  <si>
    <t>Canals d’alertes i sistema intern d’alertes (SIA)</t>
  </si>
  <si>
    <t>1.5.4</t>
  </si>
  <si>
    <t>Comissió antifrau</t>
  </si>
  <si>
    <t>1.5.6</t>
  </si>
  <si>
    <t>Verificació de documents mitjançant Codi Segur de Verificació (CSV)</t>
  </si>
  <si>
    <t xml:space="preserve">Article 6. Apartat 1. </t>
  </si>
  <si>
    <t xml:space="preserve">Article 16 </t>
  </si>
  <si>
    <t>Font: Municat</t>
  </si>
  <si>
    <t xml:space="preserve">Article 17 </t>
  </si>
  <si>
    <t xml:space="preserve">Font: CIDO - DIBA. Automàtic per aquells organismes que el tinguin publicat i es trobi recollit a la font de dades </t>
  </si>
  <si>
    <t>No prové d’una obligació legal. D’acord amb l’article 55.3 de la Llei 19/2014, del 29 de desembre, de transparència, accés a la informació pública i bon govern (LTAIPBG), els ens locals han d’elaborar un codi de conducta de llurs alts càrrecs.</t>
  </si>
  <si>
    <t>https://municat.gencat.cat/ca/Temes/Transparencia/Items-de-transparencia/1.5.7codi-conducta-alts-carrecs</t>
  </si>
  <si>
    <t xml:space="preserve">Article: 55.1.c) </t>
  </si>
  <si>
    <t>https://municat.gencat.cat/ca/Temes/Transparencia/Items-de-transparencia/1.1.5relacio-obsequis-invitacions-alts-carrecs</t>
  </si>
  <si>
    <t>Redirecció cap a Idescat</t>
  </si>
  <si>
    <t xml:space="preserve">Article 8. Apartat 1. Punt i. </t>
  </si>
  <si>
    <t>Font: AOC via EACAT</t>
  </si>
  <si>
    <t xml:space="preserve">Article 3 </t>
  </si>
  <si>
    <t>Els ajuntaments disposen d’un mòdul específic de visualització. Més informació al portal de suport de govern obert (AOC)</t>
  </si>
  <si>
    <t xml:space="preserve">Article 6. Apartat 1. Article 8. Apartat 1. Punt f, h. </t>
  </si>
  <si>
    <t xml:space="preserve">Article 8. Apartat 1. Punt g. </t>
  </si>
  <si>
    <t>Font: CIDO - DIBA</t>
  </si>
  <si>
    <t>Redirecció automàtica a dades disponibles de municipis de província de Barcelona</t>
  </si>
  <si>
    <t xml:space="preserve">Article 37.7 del Reglament (UE) 2016/679 (RGPD), i article: 34 de la Llei orgànica 3/2018 (LOPDGDD) </t>
  </si>
  <si>
    <t xml:space="preserve">Article 12 i següents del Reglament (UE) 2016/679 (RGPD), i article: 12 i següents de la Llei orgànica 3/2018 (LOPDGDD) </t>
  </si>
  <si>
    <t>Font: AOC via PSCP</t>
  </si>
  <si>
    <t>Redirecció automàtica cap a la PSCP de l'ens</t>
  </si>
  <si>
    <t>Font: AOC via PSCP. Ítem que inclou gràfiques dinàmiques.</t>
  </si>
  <si>
    <t xml:space="preserve">Article 8. Apartat 1. Punt a. </t>
  </si>
  <si>
    <t>Font: AOC via RPC. Ítem que inclou gràfiques dinàmiques.</t>
  </si>
  <si>
    <t>Font: AOC via e-FACT</t>
  </si>
  <si>
    <t xml:space="preserve">Redirecció automàtica cap al Registre de Licitadors </t>
  </si>
  <si>
    <t>Redirecció automàtica cap al Registre Electrònic d'empreses Licitadores i Classificades</t>
  </si>
  <si>
    <t>Redirecció automàtica a la Junta Consultiva de Contractació</t>
  </si>
  <si>
    <t xml:space="preserve">Article 7. Apartat a. </t>
  </si>
  <si>
    <t>Redirecció automàtica al Departament d'Economia i Finances de la Generalitat de Catalunya</t>
  </si>
  <si>
    <t>Font: Registre de convenis de col·laboració i cooperació. Departament de Presidència. Ítem que inclou gràfiques dinàmiques.</t>
  </si>
  <si>
    <t xml:space="preserve">Article 8. Apartat 1. Punt b. </t>
  </si>
  <si>
    <t>Redirecció automàtica cap al Registre de Planejament urbanístic de Catalunya. Generalitat de Catalunya</t>
  </si>
  <si>
    <t>Font: MINHAP via BDNS i alternativa CIDO- DIBA</t>
  </si>
  <si>
    <t>Font: MINHAP via BDNS. Ítem que inclou gràfiques dinàmiques.</t>
  </si>
  <si>
    <t xml:space="preserve">Article 8. Apartat 1. Punt c. </t>
  </si>
  <si>
    <t>Font: Municat. Ítem que inclou gràfiques dinàmiques.</t>
  </si>
  <si>
    <t xml:space="preserve">Article 8. Apartat 1. Punt d. </t>
  </si>
  <si>
    <t>Redirecció automàtica cap a la Sindicatura de Comptes de Catalunya</t>
  </si>
  <si>
    <t xml:space="preserve">Article 8. Apartat 1. Punt e. </t>
  </si>
  <si>
    <t>Font: MINHAP. Ítem que inclou gràfiques dinàmiques.</t>
  </si>
  <si>
    <t>https://municat.gencat.cat/ca/Temes/Transparencia/Items-de-transparencia/4.2.1.Endeutament</t>
  </si>
  <si>
    <t>Font: AOC (disponible només per ajuntaments)</t>
  </si>
  <si>
    <t xml:space="preserve">Article 8. Apartat 3. </t>
  </si>
  <si>
    <t>Redirecció automàtica cap al Mapa continu de trànsit. Servei Català de Trànsit. Generalitat de Catalunya</t>
  </si>
  <si>
    <t>Font: Departament de Territori, Habitatge i Transició Ecològica de la Generalitat de Catalunya</t>
  </si>
  <si>
    <t xml:space="preserve">Article 6. Apartat 2. </t>
  </si>
  <si>
    <t xml:space="preserve">Article 6. Apartat 2. Article 8. Apartat 1. Punt i. </t>
  </si>
  <si>
    <t>Redirecció automàtica cap al cercador de Festes generals i locals a Catalunya. Departament de Treball de la Generalitat de Catalunya</t>
  </si>
  <si>
    <t>Redirecció automàtica a la informació que consta a l'ítem "Dades Generals de l'ens" (Catàleg de Serveis). Font: Consorci AOC.</t>
  </si>
  <si>
    <t xml:space="preserve">Article: 11.2 </t>
  </si>
  <si>
    <t>Redirecció automàtica a la bústia de notificacions (e-Notum). Font: Consorci AOC.</t>
  </si>
  <si>
    <t>Redirecció automàtica al Punt General de Factures Electròniques de les Administracions Públiques de Catalunya(e-FACT). Font: Consorci AOC.</t>
  </si>
  <si>
    <t xml:space="preserve">Article 17. </t>
  </si>
  <si>
    <t xml:space="preserve">Article: 61.1 </t>
  </si>
  <si>
    <t>Redirecció automàtica cap a "El meu Espai" de l'ens. Font: AOC</t>
  </si>
  <si>
    <t>Redirecció automàtica a la informació que consta a l'ítem "Dades Generals de l'ens" (Tràmits). Font: Consorci AOC.</t>
  </si>
  <si>
    <t>Font: AOC via text que inclou per defecte enllaç a "Canal Empresa" i "Cerca guiada de tràmits".  L'ens pot editar l'ítem i informar-lo com considera oportú.</t>
  </si>
  <si>
    <t>Font: AOC via REPRESENTA</t>
  </si>
  <si>
    <t>Font: Departament de Presidència</t>
  </si>
  <si>
    <t>Redirecció automàtica cap al tauler d'edictes (font AOC)</t>
  </si>
  <si>
    <t xml:space="preserve">Article 7. Apartat e. </t>
  </si>
  <si>
    <t>Redirecció automàtica cap als dictàmens de la Comissió Jurídica Assessora de la Generalitat de Catalunya</t>
  </si>
  <si>
    <t xml:space="preserve">Article 7. Apartat c. </t>
  </si>
  <si>
    <t xml:space="preserve">Article 7. Apartat d. </t>
  </si>
  <si>
    <t>Redirecció automàtica cap al Registre de Planejament urbanístic de Catalunya i al Mapa Urbanístic de Catalunya. Generalitat de Catalunya</t>
  </si>
  <si>
    <t>Redirecció automàtica cap al Departament de Territori, Habitatge i Transició Ecològica</t>
  </si>
  <si>
    <t>Redirecció automàtica cap al Mapa Urbanístic de Catalunya (MUC - Generalitat de Catalunya)</t>
  </si>
  <si>
    <t>Font: Departament de Cultura de la Generalitat de Catalunya</t>
  </si>
  <si>
    <t>Redirecció automàtica cap al Departament de Justícia i Qualitat Democràtica</t>
  </si>
  <si>
    <t xml:space="preserve">Redirecció automàtica al cercador de grups d'interès. Govern Obert, Generalitat de Catalunya </t>
  </si>
  <si>
    <t>Article 5.4 i Article 46. Apartat 1.</t>
  </si>
  <si>
    <t>https://municat.gencat.cat/ca/Temes/Transparencia/Items-de-transparencia/1.5.5.Registre-grups-interes</t>
  </si>
  <si>
    <t xml:space="preserve">Article 7. Apartat a, b, c. </t>
  </si>
  <si>
    <t>Redirecció automàtica a una pàgina de Generalitat de Catalunya amb informació sobre  grups d'interès, incloent-ne un codi de conducta comú</t>
  </si>
  <si>
    <t>https://municat.gencat.cat/ca/Temes/Transparencia/Items-de-transparencia/1.5.1Fitxa-sistema-integritat-institucional</t>
  </si>
  <si>
    <t>Article 6 de l’Ordre HFP/1030/2021, de 29 de setembre, per la qual es configura el sistema de gestió del Pla de recuperació, transformació i resiliència.</t>
  </si>
  <si>
    <t>https://municat.gencat.cat/ca/Temes/Transparencia/Items-de-transparencia/1.5.2Pla-de-mesures-antifrau</t>
  </si>
  <si>
    <t>No prové d’una obligació legal concreta. L’Ordre HFP/1030/2021, de 29 de setembre, per la qual es configura el sistema de gestió del Pla de recuperació, transformació i resiliència (PRTR), recull la necessitat d’aprovar al més alt nivell institucional el compromís ferm contra el frau i la corrupció en el marc de la gestió dels fons Next Generation. També es considera un element essencial en la creació d’un sistema d’integritat institucional.</t>
  </si>
  <si>
    <t>https://municat.gencat.cat/ca/Temes/Transparencia/Items-de-transparencia/1.5.3Declaracio-institucional</t>
  </si>
  <si>
    <t>Font: AOC amb enllaç per defecte al canal d’alertes i assistent. Cal completar els detalls de la normativa i, si escau, la composició de l’òrgan responsable.</t>
  </si>
  <si>
    <t>Directiva (UE) 2019/1937 del Parlament Europeu i del Consell, de 23 d’octubre de 2019, relativa a la protecció de les persones que informen sobre infraccions del dret de la Unió i Llei 2/2023, de 20 de febrer, reguladora de la protecció de les persones que informen sobre infraccions normatives i de lluita contra la corrupció.</t>
  </si>
  <si>
    <t>https://municat.gencat.cat/ca/Temes/Transparencia/Items-de-transparencia/1.5.4canal-alertes-sistema-intern-alertes-sia</t>
  </si>
  <si>
    <t>No prové d’una obligació legal concreta. Si l’ens local gestiona fons Next Generation, es recomana crear una comissió antifrau per elaborar i executar el pla de mesures antifrau. Aquesta comissió també es considera un element essencial en la creació d’un sistema d’integritat institucional.</t>
  </si>
  <si>
    <t>https://municat.gencat.cat/ca/Temes/Transparencia/Items-de-transparencia/1.5.6Comissio-antifrau</t>
  </si>
  <si>
    <t xml:space="preserve">Font: AOC via enllaç al validador de CSV AOC per defecte. L'ens pot editar l'ítem informant altres validadors </t>
  </si>
  <si>
    <t>Informació complementària</t>
  </si>
  <si>
    <t>Freqüència actualització requerida</t>
  </si>
  <si>
    <t>Llei 19/2014 CAT</t>
  </si>
  <si>
    <t>Llei 19/2013 ESP</t>
  </si>
  <si>
    <t>Fases</t>
  </si>
  <si>
    <t>Criteri de selecció</t>
  </si>
  <si>
    <t>Legalment obligatoris* i automàtics</t>
  </si>
  <si>
    <t>Legalment obligatoris, avaluats pel Síndic de Greuges i manuals estructurats</t>
  </si>
  <si>
    <t>Legalment obligatoris i manuals descriptius</t>
  </si>
  <si>
    <t>Legalment obligatoris, manuals estructurats, no avaluats pel Síndic de Greuges</t>
  </si>
  <si>
    <t>Codi</t>
  </si>
  <si>
    <t>Ens</t>
  </si>
  <si>
    <t>Any de l’avaluació</t>
  </si>
  <si>
    <t>Data</t>
  </si>
  <si>
    <t>no</t>
  </si>
  <si>
    <t>Visites</t>
  </si>
  <si>
    <t>Els 5 ítems més consultats, millor valorats</t>
  </si>
  <si>
    <t>Els 5 ítems més consultats, pitjor valorats</t>
  </si>
  <si>
    <t> </t>
  </si>
  <si>
    <t>No, però és recomanable</t>
  </si>
  <si>
    <t>Metodologia d'autoavaluació de les obligacions de transparència</t>
  </si>
  <si>
    <t>L'autoavaluació segueix la metodologia definida per la Xarxa de Governs Oberts de Catalunya i, per cada indicador, té en compte les variables relatives al contingut i l'actualització.</t>
  </si>
  <si>
    <t>https://municat.gencat.cat/ca/Temes/Transparencia/Items-de-transparencia/1.1.5agenda-alts-carrecs</t>
  </si>
  <si>
    <t>Plantejament de l'autoavaluació</t>
  </si>
  <si>
    <t>No obligatoris legalment</t>
  </si>
  <si>
    <t xml:space="preserve">Ajuntament de la Tallada d'Empordà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</si>
</sst>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Arial"/>
      <family val="2"/>
      <scheme val="minor"/>
    </font>
    <font>
      <u/>
      <sz val="11"/>
      <color theme="10"/>
      <name val="Arial"/>
      <family val="2"/>
      <scheme val="minor"/>
    </font>
    <font>
      <b/>
      <sz val="11"/>
      <color theme="1"/>
      <name val="Arial"/>
      <family val="2"/>
      <scheme val="minor"/>
    </font>
    <font>
      <b/>
      <sz val="11"/>
      <color theme="0"/>
      <name val="Arial"/>
      <family val="2"/>
      <scheme val="minor"/>
    </font>
    <font>
      <sz val="8"/>
      <name val="Arial"/>
      <family val="2"/>
    </font>
    <font>
      <b/>
      <sz val="8"/>
      <name val="Arial"/>
      <family val="2"/>
    </font>
    <font>
      <sz val="8"/>
      <color theme="1"/>
      <name val="Arial"/>
      <family val="2"/>
    </font>
    <font>
      <sz val="11"/>
      <color theme="1"/>
      <name val="Arial"/>
      <family val="2"/>
      <scheme val="minor"/>
    </font>
    <font>
      <b/>
      <sz val="11"/>
      <color theme="1"/>
      <name val="Arial"/>
      <family val="2"/>
      <scheme val="minor"/>
    </font>
    <font>
      <b/>
      <sz val="13"/>
      <color theme="3"/>
      <name val="Arial"/>
      <family val="2"/>
      <scheme val="minor"/>
    </font>
    <font>
      <b/>
      <sz val="15"/>
      <color theme="3" tint="-0.24994659260841701"/>
      <name val="Arial"/>
      <family val="2"/>
      <scheme val="minor"/>
    </font>
    <font>
      <sz val="18"/>
      <color theme="3" tint="-0.24994659260841701"/>
      <name val="Arial"/>
      <family val="2"/>
      <scheme val="major"/>
    </font>
    <font>
      <sz val="11"/>
      <color theme="1"/>
      <name val="Arial"/>
      <family val="2"/>
      <scheme val="minor"/>
    </font>
    <font>
      <b/>
      <sz val="11"/>
      <color theme="3"/>
      <name val="Arial"/>
      <family val="2"/>
      <scheme val="minor"/>
    </font>
    <font>
      <sz val="11"/>
      <color theme="0"/>
      <name val="Arial"/>
      <family val="2"/>
      <scheme val="minor"/>
    </font>
    <font>
      <sz val="8"/>
      <color theme="5" tint="0.39997558519241921"/>
      <name val="Arial"/>
      <family val="2"/>
      <scheme val="minor"/>
    </font>
    <font>
      <sz val="8"/>
      <color theme="1"/>
      <name val="Arial"/>
      <family val="2"/>
      <scheme val="minor"/>
    </font>
    <font>
      <b/>
      <sz val="8"/>
      <color theme="1"/>
      <name val="Arial"/>
      <family val="2"/>
      <scheme val="minor"/>
    </font>
    <font>
      <sz val="10"/>
      <color theme="1"/>
      <name val="Arial"/>
      <family val="2"/>
      <scheme val="minor"/>
    </font>
    <font>
      <b/>
      <sz val="10"/>
      <color theme="1"/>
      <name val="Arial"/>
      <family val="2"/>
      <scheme val="minor"/>
    </font>
    <font>
      <b/>
      <sz val="12"/>
      <color theme="4"/>
      <name val="Arial"/>
      <family val="2"/>
      <scheme val="minor"/>
    </font>
    <font>
      <sz val="9"/>
      <color indexed="81"/>
      <name val="Tahoma"/>
      <family val="2"/>
    </font>
    <font>
      <b/>
      <sz val="9"/>
      <color indexed="81"/>
      <name val="Tahoma"/>
      <family val="2"/>
    </font>
  </fonts>
  <fills count="9">
    <fill>
      <patternFill patternType="none"/>
    </fill>
    <fill>
      <patternFill patternType="gray125"/>
    </fill>
    <fill>
      <patternFill patternType="solid">
        <fgColor theme="2"/>
        <bgColor indexed="6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darkUp">
        <fgColor theme="5"/>
        <bgColor theme="3" tint="-0.24994659260841701"/>
      </patternFill>
    </fill>
    <fill>
      <patternFill patternType="solid">
        <fgColor theme="3" tint="0.59999389629810485"/>
        <bgColor indexed="64"/>
      </patternFill>
    </fill>
  </fills>
  <borders count="7">
    <border>
      <left/>
      <right/>
      <top/>
      <bottom/>
      <diagonal/>
    </border>
    <border>
      <left/>
      <right/>
      <top/>
      <bottom style="thick">
        <color theme="4"/>
      </bottom>
      <diagonal/>
    </border>
    <border>
      <left/>
      <right/>
      <top style="medium">
        <color theme="0"/>
      </top>
      <bottom style="medium">
        <color theme="0"/>
      </bottom>
      <diagonal/>
    </border>
    <border>
      <left/>
      <right/>
      <top style="thick">
        <color theme="4"/>
      </top>
      <bottom style="medium">
        <color theme="0"/>
      </bottom>
      <diagonal/>
    </border>
    <border>
      <left/>
      <right/>
      <top/>
      <bottom style="medium">
        <color theme="4" tint="0.39997558519241921"/>
      </bottom>
      <diagonal/>
    </border>
    <border>
      <left/>
      <right/>
      <top/>
      <bottom style="thin">
        <color theme="0"/>
      </bottom>
      <diagonal/>
    </border>
    <border>
      <left/>
      <right/>
      <top style="thin">
        <color theme="0"/>
      </top>
      <bottom/>
      <diagonal/>
    </border>
  </borders>
  <cellStyleXfs count="13">
    <xf numFmtId="0" fontId="0" fillId="0" borderId="0">
      <alignment vertical="center" wrapText="1"/>
    </xf>
    <xf numFmtId="0" fontId="1" fillId="0" borderId="0" applyNumberFormat="0" applyFill="0" applyBorder="0" applyAlignment="0" applyProtection="0"/>
    <xf numFmtId="9" fontId="7" fillId="0" borderId="0" applyFont="0" applyFill="0" applyBorder="0" applyAlignment="0" applyProtection="0"/>
    <xf numFmtId="0" fontId="11" fillId="0" borderId="0" applyNumberFormat="0" applyFill="0" applyBorder="0" applyProtection="0">
      <alignment vertical="center"/>
    </xf>
    <xf numFmtId="0" fontId="10" fillId="0" borderId="1" applyNumberFormat="0" applyFill="0" applyProtection="0">
      <alignment vertical="center"/>
    </xf>
    <xf numFmtId="0" fontId="9" fillId="0" borderId="1" applyNumberFormat="0" applyFill="0" applyProtection="0">
      <alignment vertical="center"/>
    </xf>
    <xf numFmtId="0" fontId="20" fillId="0" borderId="0" applyNumberFormat="0" applyFill="0" applyBorder="0" applyProtection="0">
      <alignment vertical="center"/>
    </xf>
    <xf numFmtId="0" fontId="13" fillId="0" borderId="4" applyNumberFormat="0" applyFill="0" applyAlignment="0" applyProtection="0"/>
    <xf numFmtId="0" fontId="14" fillId="3" borderId="0" applyNumberFormat="0" applyBorder="0" applyAlignment="0" applyProtection="0"/>
    <xf numFmtId="0" fontId="7" fillId="4" borderId="0" applyNumberFormat="0" applyBorder="0" applyAlignment="0" applyProtection="0"/>
    <xf numFmtId="0" fontId="14" fillId="5" borderId="0" applyNumberFormat="0" applyBorder="0" applyAlignment="0" applyProtection="0"/>
    <xf numFmtId="0" fontId="7" fillId="6" borderId="0" applyNumberFormat="0" applyBorder="0" applyAlignment="0" applyProtection="0"/>
    <xf numFmtId="0" fontId="1" fillId="0" borderId="0" applyNumberFormat="0" applyFill="0" applyBorder="0" applyAlignment="0" applyProtection="0">
      <alignment vertical="center" wrapText="1"/>
    </xf>
  </cellStyleXfs>
  <cellXfs count="73">
    <xf numFmtId="0" fontId="0" fillId="0" borderId="0" xfId="0">
      <alignment vertical="center" wrapText="1"/>
    </xf>
    <xf numFmtId="0" fontId="2" fillId="0" borderId="0" xfId="0" applyFont="1">
      <alignment vertical="center" wrapText="1"/>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horizontal="center" vertical="top" wrapText="1"/>
    </xf>
    <xf numFmtId="0" fontId="0" fillId="0" borderId="0" xfId="0" applyAlignment="1">
      <alignment horizontal="center" vertical="center" wrapText="1"/>
    </xf>
    <xf numFmtId="0" fontId="11" fillId="0" borderId="0" xfId="3">
      <alignment vertical="center"/>
    </xf>
    <xf numFmtId="9" fontId="0" fillId="0" borderId="0" xfId="2" applyFont="1" applyAlignment="1">
      <alignment horizontal="center" vertical="center" wrapText="1"/>
    </xf>
    <xf numFmtId="0" fontId="0" fillId="0" borderId="0" xfId="0" applyAlignment="1">
      <alignment horizontal="left" vertical="center" wrapText="1"/>
    </xf>
    <xf numFmtId="9" fontId="0" fillId="0" borderId="0" xfId="2" applyFont="1" applyAlignment="1">
      <alignment vertical="center" wrapText="1"/>
    </xf>
    <xf numFmtId="9" fontId="0" fillId="0" borderId="0" xfId="2" applyFont="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49" fontId="0" fillId="0" borderId="0" xfId="0" applyNumberFormat="1">
      <alignment vertical="center" wrapText="1"/>
    </xf>
    <xf numFmtId="0" fontId="0" fillId="0" borderId="0" xfId="0" applyAlignment="1">
      <alignment horizontal="right" vertical="center"/>
    </xf>
    <xf numFmtId="14" fontId="2" fillId="0" borderId="0" xfId="0" applyNumberFormat="1" applyFont="1" applyAlignment="1">
      <alignment horizontal="left" vertical="center"/>
    </xf>
    <xf numFmtId="0" fontId="12" fillId="0" borderId="0" xfId="0" applyFont="1" applyAlignment="1">
      <alignment horizontal="center" vertical="center" wrapText="1"/>
    </xf>
    <xf numFmtId="9" fontId="12" fillId="0" borderId="0" xfId="0" applyNumberFormat="1" applyFont="1" applyAlignment="1">
      <alignment horizontal="center" vertical="center" wrapText="1"/>
    </xf>
    <xf numFmtId="9" fontId="0" fillId="0" borderId="0" xfId="0" applyNumberFormat="1" applyAlignment="1">
      <alignment horizontal="center" vertical="center" wrapText="1"/>
    </xf>
    <xf numFmtId="9" fontId="12" fillId="0" borderId="0" xfId="2" applyFont="1" applyAlignment="1">
      <alignment horizontal="center" vertical="center" wrapText="1"/>
    </xf>
    <xf numFmtId="1" fontId="12" fillId="0" borderId="0" xfId="2" applyNumberFormat="1" applyFont="1" applyAlignment="1">
      <alignment horizontal="center" vertical="center" wrapText="1"/>
    </xf>
    <xf numFmtId="14" fontId="2" fillId="0" borderId="0" xfId="0" applyNumberFormat="1" applyFont="1" applyAlignment="1">
      <alignment horizontal="right" vertical="center"/>
    </xf>
    <xf numFmtId="10" fontId="0" fillId="0" borderId="0" xfId="2" applyNumberFormat="1" applyFont="1" applyAlignment="1">
      <alignment horizontal="center" vertical="center" wrapText="1"/>
    </xf>
    <xf numFmtId="0" fontId="4" fillId="0" borderId="0" xfId="0" applyFont="1">
      <alignment vertical="center" wrapText="1"/>
    </xf>
    <xf numFmtId="0" fontId="4" fillId="0" borderId="0" xfId="0" applyFont="1" applyAlignment="1">
      <alignment horizontal="left" vertical="top"/>
    </xf>
    <xf numFmtId="0" fontId="16" fillId="0" borderId="0" xfId="0" applyFont="1">
      <alignment vertical="center" wrapText="1"/>
    </xf>
    <xf numFmtId="0" fontId="16" fillId="0" borderId="0" xfId="0" applyFont="1" applyAlignment="1">
      <alignment vertical="center"/>
    </xf>
    <xf numFmtId="0" fontId="16" fillId="0" borderId="0" xfId="0" applyFont="1" applyAlignment="1">
      <alignment horizontal="center" vertical="center" wrapText="1"/>
    </xf>
    <xf numFmtId="0" fontId="17" fillId="0" borderId="0" xfId="0" applyFont="1">
      <alignment vertical="center" wrapText="1"/>
    </xf>
    <xf numFmtId="0" fontId="6" fillId="0" borderId="0" xfId="0" applyFont="1" applyAlignment="1">
      <alignment horizontal="center" vertical="top"/>
    </xf>
    <xf numFmtId="0" fontId="17" fillId="0" borderId="0" xfId="0" applyFont="1" applyAlignment="1">
      <alignment horizontal="center" vertical="center" wrapText="1"/>
    </xf>
    <xf numFmtId="10" fontId="16" fillId="0" borderId="0" xfId="2" applyNumberFormat="1" applyFont="1" applyAlignment="1">
      <alignment horizontal="center" vertical="center" wrapText="1"/>
    </xf>
    <xf numFmtId="0" fontId="5" fillId="0" borderId="0" xfId="0" applyFont="1" applyAlignment="1">
      <alignment horizontal="center" vertical="top"/>
    </xf>
    <xf numFmtId="0" fontId="15" fillId="7" borderId="0" xfId="0" applyFont="1" applyFill="1" applyAlignment="1">
      <alignment horizontal="center" vertical="center" wrapText="1"/>
    </xf>
    <xf numFmtId="0" fontId="15" fillId="7" borderId="0" xfId="0" applyFont="1" applyFill="1" applyAlignment="1">
      <alignment horizontal="left" vertical="center" wrapText="1"/>
    </xf>
    <xf numFmtId="0" fontId="20" fillId="0" borderId="0" xfId="6" applyAlignment="1">
      <alignment horizontal="left" vertical="center"/>
    </xf>
    <xf numFmtId="0" fontId="17" fillId="0" borderId="0" xfId="0" applyFont="1" applyAlignment="1">
      <alignment horizontal="left" vertical="center" wrapText="1" indent="1"/>
    </xf>
    <xf numFmtId="0" fontId="18" fillId="0" borderId="0" xfId="0" applyFont="1" applyAlignment="1">
      <alignment horizontal="right" vertical="center"/>
    </xf>
    <xf numFmtId="0" fontId="19" fillId="0" borderId="0" xfId="0" applyFont="1" applyAlignment="1">
      <alignment horizontal="left" vertical="center"/>
    </xf>
    <xf numFmtId="0" fontId="18" fillId="0" borderId="0" xfId="0" applyFont="1">
      <alignment vertical="center" wrapText="1"/>
    </xf>
    <xf numFmtId="0" fontId="18" fillId="0" borderId="0" xfId="0" applyFont="1" applyAlignment="1">
      <alignment horizontal="left" vertical="center"/>
    </xf>
    <xf numFmtId="0" fontId="0" fillId="8" borderId="0" xfId="0" applyFill="1">
      <alignment vertical="center" wrapText="1"/>
    </xf>
    <xf numFmtId="0" fontId="0" fillId="8" borderId="0" xfId="0" applyFill="1" applyAlignment="1">
      <alignment horizontal="center" vertical="center" wrapText="1"/>
    </xf>
    <xf numFmtId="0" fontId="2" fillId="8" borderId="0" xfId="0" applyFont="1" applyFill="1" applyAlignment="1">
      <alignment horizontal="left" vertical="center" wrapText="1"/>
    </xf>
    <xf numFmtId="0" fontId="2" fillId="0" borderId="0" xfId="0" applyFont="1" applyAlignment="1">
      <alignment horizontal="left" vertical="center" wrapText="1"/>
    </xf>
    <xf numFmtId="14" fontId="19" fillId="0" borderId="0" xfId="0" applyNumberFormat="1" applyFont="1" applyAlignment="1">
      <alignment horizontal="right" vertical="center"/>
    </xf>
    <xf numFmtId="3" fontId="16" fillId="0" borderId="0" xfId="0" applyNumberFormat="1" applyFont="1">
      <alignment vertical="center" wrapText="1"/>
    </xf>
    <xf numFmtId="0" fontId="1" fillId="0" borderId="0" xfId="12">
      <alignment vertical="center" wrapText="1"/>
    </xf>
    <xf numFmtId="0" fontId="11" fillId="0" borderId="0" xfId="3" applyProtection="1">
      <alignment vertical="center"/>
    </xf>
    <xf numFmtId="0" fontId="20" fillId="0" borderId="0" xfId="6" applyProtection="1">
      <alignment vertical="center"/>
    </xf>
    <xf numFmtId="0" fontId="9" fillId="0" borderId="1" xfId="5" applyProtection="1">
      <alignment vertical="center"/>
    </xf>
    <xf numFmtId="0" fontId="0" fillId="2" borderId="3" xfId="0" applyFill="1" applyBorder="1" applyAlignment="1">
      <alignment vertical="center"/>
    </xf>
    <xf numFmtId="0" fontId="0" fillId="2" borderId="2" xfId="0" applyFill="1" applyBorder="1" applyAlignment="1">
      <alignment vertical="center"/>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1" fontId="8" fillId="2" borderId="2" xfId="0" applyNumberFormat="1" applyFont="1" applyFill="1" applyBorder="1" applyAlignment="1" applyProtection="1">
      <alignment horizontal="left" vertical="center"/>
      <protection locked="0"/>
    </xf>
    <xf numFmtId="14" fontId="8" fillId="2" borderId="2" xfId="0" applyNumberFormat="1" applyFont="1" applyFill="1" applyBorder="1" applyAlignment="1" applyProtection="1">
      <alignment horizontal="left" vertical="center"/>
      <protection locked="0"/>
    </xf>
    <xf numFmtId="1" fontId="8" fillId="2" borderId="2" xfId="0" applyNumberFormat="1" applyFont="1" applyFill="1" applyBorder="1" applyAlignment="1">
      <alignment horizontal="left" vertical="center"/>
    </xf>
    <xf numFmtId="49" fontId="8" fillId="2" borderId="2" xfId="0" applyNumberFormat="1" applyFont="1" applyFill="1" applyBorder="1" applyAlignment="1" applyProtection="1">
      <alignment vertical="center"/>
      <protection locked="0"/>
    </xf>
    <xf numFmtId="49" fontId="2" fillId="2" borderId="3" xfId="0" applyNumberFormat="1" applyFont="1" applyFill="1" applyBorder="1" applyAlignment="1" applyProtection="1">
      <alignment vertical="center"/>
      <protection locked="0"/>
    </xf>
    <xf numFmtId="0" fontId="16" fillId="0" borderId="0" xfId="0" applyFont="1" applyAlignment="1">
      <alignment horizontal="left" vertical="center" wrapText="1" indent="1"/>
    </xf>
    <xf numFmtId="0" fontId="18" fillId="6" borderId="6" xfId="11" applyFont="1" applyBorder="1" applyAlignment="1">
      <alignment horizontal="left" vertical="center" wrapText="1"/>
    </xf>
    <xf numFmtId="0" fontId="18" fillId="6" borderId="0" xfId="11" applyFont="1" applyBorder="1" applyAlignment="1">
      <alignment horizontal="left" vertical="center" wrapText="1"/>
    </xf>
    <xf numFmtId="0" fontId="18" fillId="6" borderId="5" xfId="11" applyFont="1" applyBorder="1" applyAlignment="1">
      <alignment horizontal="left" vertical="center" wrapText="1"/>
    </xf>
    <xf numFmtId="0" fontId="0" fillId="0" borderId="0" xfId="0" applyAlignment="1">
      <alignment horizontal="left" vertical="center" wrapText="1"/>
    </xf>
    <xf numFmtId="0" fontId="13" fillId="0" borderId="4" xfId="7" applyAlignment="1">
      <alignment horizontal="left" vertical="center"/>
    </xf>
    <xf numFmtId="0" fontId="13" fillId="0" borderId="4" xfId="7" applyAlignment="1">
      <alignment horizontal="left" vertical="center" wrapText="1"/>
    </xf>
    <xf numFmtId="0" fontId="3" fillId="3" borderId="5" xfId="8" applyFont="1" applyBorder="1" applyAlignment="1">
      <alignment horizontal="left" vertical="center" wrapText="1"/>
    </xf>
    <xf numFmtId="0" fontId="18" fillId="4" borderId="6" xfId="9" applyFont="1" applyBorder="1" applyAlignment="1">
      <alignment horizontal="left" vertical="center" wrapText="1"/>
    </xf>
    <xf numFmtId="0" fontId="18" fillId="4" borderId="0" xfId="9" applyFont="1" applyBorder="1" applyAlignment="1">
      <alignment horizontal="left" vertical="center" wrapText="1"/>
    </xf>
    <xf numFmtId="0" fontId="18" fillId="4" borderId="5" xfId="9" applyFont="1" applyBorder="1" applyAlignment="1">
      <alignment horizontal="left" vertical="center" wrapText="1"/>
    </xf>
    <xf numFmtId="0" fontId="3" fillId="5" borderId="5" xfId="10" applyFont="1" applyBorder="1" applyAlignment="1">
      <alignment horizontal="left" vertical="center" wrapText="1"/>
    </xf>
  </cellXfs>
  <cellStyles count="13">
    <cellStyle name="20% - Énfasis2" xfId="9" builtinId="34"/>
    <cellStyle name="20% - Énfasis4" xfId="11" builtinId="42"/>
    <cellStyle name="Encabezado 1" xfId="4" builtinId="16" customBuiltin="1"/>
    <cellStyle name="Encabezado 4" xfId="6" builtinId="19" customBuiltin="1"/>
    <cellStyle name="Énfasis2" xfId="8" builtinId="33"/>
    <cellStyle name="Énfasis4" xfId="10" builtinId="41"/>
    <cellStyle name="Hipervínculo" xfId="12" builtinId="8"/>
    <cellStyle name="Hyperlink" xfId="1" xr:uid="{00000000-0005-0000-0000-000007000000}"/>
    <cellStyle name="Normal" xfId="0" builtinId="0" customBuiltin="1"/>
    <cellStyle name="Porcentaje" xfId="2" builtinId="5"/>
    <cellStyle name="Título" xfId="3" builtinId="15" customBuiltin="1"/>
    <cellStyle name="Título 2" xfId="5" builtinId="17" customBuiltin="1"/>
    <cellStyle name="Título 3" xfId="7" builtinId="18"/>
  </cellStyles>
  <dxfs count="278">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color rgb="FFC00000"/>
      </font>
    </dxf>
    <dxf>
      <font>
        <b/>
        <i val="0"/>
        <color theme="9" tint="-0.24994659260841701"/>
      </font>
    </dxf>
    <dxf>
      <font>
        <b/>
        <i val="0"/>
        <color theme="5"/>
      </font>
    </dxf>
    <dxf>
      <fill>
        <patternFill patternType="darkUp">
          <fgColor theme="5" tint="0.59996337778862885"/>
        </patternFill>
      </fill>
    </dxf>
    <dxf>
      <fill>
        <patternFill patternType="darkUp">
          <fgColor theme="9" tint="0.39994506668294322"/>
        </patternFill>
      </fill>
    </dxf>
    <dxf>
      <fill>
        <patternFill patternType="darkUp">
          <fgColor theme="8" tint="0.39994506668294322"/>
        </patternFill>
      </fill>
    </dxf>
    <dxf>
      <fill>
        <patternFill patternType="darkUp">
          <fgColor theme="7" tint="0.59996337778862885"/>
        </patternFill>
      </fill>
    </dxf>
    <dxf>
      <fill>
        <patternFill patternType="darkUp">
          <fgColor theme="6" tint="0.59996337778862885"/>
        </patternFill>
      </fill>
    </dxf>
    <dxf>
      <fill>
        <patternFill patternType="darkUp">
          <fgColor theme="1" tint="0.499984740745262"/>
        </patternFill>
      </fill>
    </dxf>
    <dxf>
      <fill>
        <patternFill patternType="darkUp">
          <fgColor theme="1" tint="0.499984740745262"/>
        </patternFill>
      </fill>
    </dxf>
    <dxf>
      <fill>
        <patternFill patternType="darkUp">
          <fgColor theme="6" tint="-0.24994659260841701"/>
        </patternFill>
      </fill>
    </dxf>
    <dxf>
      <font>
        <color theme="7" tint="-0.24994659260841701"/>
      </font>
      <fill>
        <patternFill patternType="darkUp">
          <fgColor theme="7" tint="0.79998168889431442"/>
        </patternFill>
      </fill>
    </dxf>
    <dxf>
      <font>
        <b/>
        <i val="0"/>
        <color theme="5" tint="0.79998168889431442"/>
      </font>
      <fill>
        <patternFill patternType="darkUp">
          <fgColor theme="5" tint="-0.24994659260841701"/>
          <bgColor theme="5"/>
        </patternFill>
      </fill>
      <border>
        <left style="thin">
          <color theme="0"/>
        </left>
        <right style="thin">
          <color theme="0"/>
        </right>
        <top style="thin">
          <color theme="0"/>
        </top>
        <bottom style="thin">
          <color theme="0"/>
        </bottom>
      </border>
    </dxf>
    <dxf>
      <font>
        <b/>
        <i val="0"/>
        <color theme="9" tint="-0.499984740745262"/>
      </font>
      <fill>
        <patternFill patternType="darkUp">
          <fgColor theme="9" tint="-0.24994659260841701"/>
          <bgColor theme="9"/>
        </patternFill>
      </fill>
      <border>
        <left style="thin">
          <color theme="0"/>
        </left>
        <right style="thin">
          <color theme="0"/>
        </right>
        <top style="thin">
          <color theme="0"/>
        </top>
        <bottom style="thin">
          <color theme="0"/>
        </bottom>
      </border>
    </dxf>
    <dxf>
      <font>
        <b/>
        <i val="0"/>
        <color theme="7" tint="0.79998168889431442"/>
      </font>
      <fill>
        <patternFill patternType="darkUp">
          <fgColor theme="7"/>
          <bgColor theme="7" tint="0.39994506668294322"/>
        </patternFill>
      </fill>
      <border>
        <left style="thin">
          <color theme="0"/>
        </left>
        <right style="thin">
          <color theme="0"/>
        </right>
        <top style="thin">
          <color theme="0"/>
        </top>
        <bottom style="thin">
          <color theme="0"/>
        </bottom>
      </border>
    </dxf>
    <dxf>
      <font>
        <b/>
        <i val="0"/>
        <color theme="4" tint="0.79998168889431442"/>
      </font>
      <fill>
        <patternFill patternType="darkUp">
          <fgColor theme="4" tint="-0.24994659260841701"/>
          <bgColor theme="4" tint="0.39994506668294322"/>
        </patternFill>
      </fill>
      <border>
        <left style="thin">
          <color theme="0"/>
        </left>
        <right style="thin">
          <color theme="0"/>
        </right>
        <top style="thin">
          <color theme="0"/>
        </top>
        <bottom style="thin">
          <color theme="0"/>
        </bottom>
      </border>
    </dxf>
    <dxf>
      <font>
        <b/>
        <i val="0"/>
        <color theme="6" tint="0.79998168889431442"/>
      </font>
      <fill>
        <patternFill patternType="darkUp">
          <fgColor rgb="FF7030A0"/>
          <bgColor theme="6" tint="0.39994506668294322"/>
        </patternFill>
      </fill>
      <border>
        <left style="thin">
          <color theme="0"/>
        </left>
        <right style="thin">
          <color theme="0"/>
        </right>
        <top style="thin">
          <color theme="0"/>
        </top>
        <bottom style="thin">
          <color theme="0"/>
        </bottom>
      </border>
    </dxf>
    <dxf>
      <font>
        <b/>
        <i val="0"/>
        <color theme="5"/>
      </font>
      <fill>
        <patternFill patternType="darkUp">
          <fgColor theme="5" tint="0.59996337778862885"/>
        </patternFill>
      </fill>
      <border>
        <left style="thin">
          <color theme="0"/>
        </left>
        <right style="thin">
          <color theme="0"/>
        </right>
      </border>
    </dxf>
    <dxf>
      <font>
        <b/>
        <i val="0"/>
        <color theme="7"/>
      </font>
      <fill>
        <patternFill patternType="darkUp">
          <fgColor theme="7" tint="0.79998168889431442"/>
        </patternFill>
      </fill>
      <border>
        <left style="thin">
          <color theme="0"/>
        </left>
        <right style="thin">
          <color theme="0"/>
        </right>
      </border>
    </dxf>
    <dxf>
      <font>
        <b/>
        <i val="0"/>
        <color theme="4"/>
      </font>
      <fill>
        <patternFill patternType="darkUp">
          <fgColor theme="4" tint="0.79998168889431442"/>
        </patternFill>
      </fill>
      <border>
        <left style="thin">
          <color theme="0"/>
        </left>
        <right style="thin">
          <color theme="0"/>
        </right>
      </border>
    </dxf>
    <dxf>
      <border>
        <top style="thin">
          <color theme="3"/>
        </top>
        <bottom style="thin">
          <color theme="3"/>
        </bottom>
        <vertical/>
        <horizontal/>
      </border>
    </dxf>
    <dxf>
      <border>
        <bottom style="thin">
          <color theme="3"/>
        </bottom>
        <vertical/>
        <horizontal/>
      </border>
    </dxf>
    <dxf>
      <border>
        <top style="thin">
          <color theme="3"/>
        </top>
        <bottom style="thin">
          <color theme="3"/>
        </bottom>
        <vertical/>
        <horizontal/>
      </border>
    </dxf>
    <dxf>
      <fill>
        <patternFill>
          <bgColor theme="3" tint="0.79998168889431442"/>
        </patternFill>
      </fill>
      <border>
        <top style="thin">
          <color theme="3"/>
        </top>
        <bottom style="thin">
          <color theme="3"/>
        </bottom>
        <vertical/>
        <horizontal/>
      </border>
    </dxf>
    <dxf>
      <font>
        <b/>
        <i val="0"/>
        <color theme="5" tint="0.79998168889431442"/>
      </font>
      <fill>
        <patternFill patternType="darkUp">
          <fgColor theme="5" tint="-0.24994659260841701"/>
          <bgColor theme="5"/>
        </patternFill>
      </fill>
    </dxf>
    <dxf>
      <font>
        <b/>
        <i val="0"/>
        <color theme="9" tint="-0.499984740745262"/>
      </font>
      <fill>
        <patternFill patternType="darkUp">
          <fgColor theme="9" tint="-0.24994659260841701"/>
          <bgColor theme="9"/>
        </patternFill>
      </fill>
    </dxf>
    <dxf>
      <font>
        <b/>
        <i val="0"/>
        <color theme="7" tint="0.79998168889431442"/>
      </font>
      <fill>
        <patternFill patternType="darkUp">
          <fgColor theme="7"/>
          <bgColor theme="7" tint="0.39994506668294322"/>
        </patternFill>
      </fill>
    </dxf>
    <dxf>
      <font>
        <b/>
        <i val="0"/>
        <color theme="6" tint="0.79998168889431442"/>
      </font>
      <fill>
        <patternFill patternType="darkUp">
          <fgColor rgb="FF7030A0"/>
          <bgColor theme="6" tint="0.39994506668294322"/>
        </patternFill>
      </fill>
    </dxf>
    <dxf>
      <font>
        <b/>
        <i val="0"/>
        <color theme="0"/>
      </font>
      <fill>
        <patternFill patternType="darkUp">
          <fgColor theme="6" tint="-0.24994659260841701"/>
        </patternFill>
      </fill>
    </dxf>
    <dxf>
      <font>
        <b/>
        <i val="0"/>
        <color theme="5"/>
      </font>
      <fill>
        <patternFill patternType="darkUp">
          <fgColor theme="5" tint="0.59996337778862885"/>
        </patternFill>
      </fill>
    </dxf>
    <dxf>
      <font>
        <b/>
        <i val="0"/>
        <color theme="7"/>
      </font>
      <fill>
        <patternFill patternType="darkUp">
          <fgColor theme="7" tint="0.79998168889431442"/>
        </patternFill>
      </fill>
    </dxf>
    <dxf>
      <font>
        <b/>
        <i val="0"/>
        <color theme="4"/>
      </font>
      <fill>
        <patternFill patternType="darkUp">
          <fgColor theme="4" tint="0.79998168889431442"/>
        </patternFill>
      </fill>
    </dxf>
    <dxf>
      <font>
        <b/>
        <i val="0"/>
        <color theme="0"/>
      </font>
      <fill>
        <patternFill patternType="darkUp">
          <fgColor theme="6" tint="-0.24994659260841701"/>
        </patternFill>
      </fill>
    </dxf>
    <dxf>
      <font>
        <b/>
        <i val="0"/>
        <color theme="0"/>
      </font>
      <fill>
        <patternFill patternType="darkUp">
          <fgColor theme="6" tint="-0.24994659260841701"/>
        </patternFill>
      </fill>
    </dxf>
    <dxf>
      <font>
        <color theme="3" tint="0.39994506668294322"/>
      </font>
      <fill>
        <patternFill patternType="darkUp">
          <fgColor theme="6" tint="0.7999816888943144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numFmt numFmtId="30" formatCode="@"/>
      <alignment horizontal="general"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general" vertical="center" textRotation="0" wrapText="0" indent="0" justifyLastLine="0" shrinkToFit="0" readingOrder="0"/>
    </dxf>
    <dxf>
      <font>
        <strike val="0"/>
        <outline val="0"/>
        <shadow val="0"/>
        <u val="none"/>
        <vertAlign val="baseline"/>
        <sz val="8"/>
        <color theme="1"/>
        <name val="Arial"/>
        <scheme val="minor"/>
      </font>
      <alignment textRotation="0" wrapText="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numFmt numFmtId="3" formatCode="#,##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numFmt numFmtId="14" formatCode="0.00%"/>
      <alignment horizontal="center" textRotation="0" wrapText="1" indent="0" justifyLastLine="0" shrinkToFit="0" readingOrder="0"/>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dxf>
    <dxf>
      <font>
        <b/>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dxf>
    <dxf>
      <font>
        <strike val="0"/>
        <outline val="0"/>
        <shadow val="0"/>
        <u val="none"/>
        <vertAlign val="baseline"/>
        <sz val="8"/>
        <color theme="1"/>
        <name val="Arial"/>
        <scheme val="minor"/>
      </font>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b/>
        <strike val="0"/>
        <outline val="0"/>
        <shadow val="0"/>
        <u val="none"/>
        <vertAlign val="baseline"/>
        <sz val="8"/>
        <color theme="1"/>
        <name val="Arial"/>
        <scheme val="minor"/>
      </font>
      <alignment horizontal="center" textRotation="0" indent="0" justifyLastLine="0" shrinkToFit="0" readingOrder="0"/>
    </dxf>
    <dxf>
      <font>
        <b val="0"/>
        <i val="0"/>
        <strike val="0"/>
        <condense val="0"/>
        <extend val="0"/>
        <outline val="0"/>
        <shadow val="0"/>
        <u val="none"/>
        <vertAlign val="baseline"/>
        <sz val="8"/>
        <color theme="1"/>
        <name val="Arial"/>
        <scheme val="minor"/>
      </font>
      <alignment horizontal="center" vertical="center" textRotation="0" wrapText="1" indent="0" justifyLastLine="0" shrinkToFit="0" readingOrder="0"/>
    </dxf>
    <dxf>
      <font>
        <strike val="0"/>
        <outline val="0"/>
        <shadow val="0"/>
        <u val="none"/>
        <vertAlign val="baseline"/>
        <sz val="8"/>
        <color theme="1"/>
        <name val="Arial"/>
        <scheme val="minor"/>
      </font>
      <alignment horizontal="center" textRotation="0" indent="0" justifyLastLine="0" shrinkToFit="0" readingOrder="0"/>
    </dxf>
    <dxf>
      <font>
        <strike val="0"/>
        <outline val="0"/>
        <shadow val="0"/>
        <u val="none"/>
        <vertAlign val="baseline"/>
        <sz val="8"/>
        <color theme="1"/>
        <name val="Arial"/>
        <scheme val="minor"/>
      </font>
    </dxf>
    <dxf>
      <font>
        <strike val="0"/>
        <outline val="0"/>
        <shadow val="0"/>
        <u val="none"/>
        <vertAlign val="baseline"/>
        <sz val="8"/>
        <color theme="1"/>
        <name val="Arial"/>
        <scheme val="minor"/>
      </font>
    </dxf>
    <dxf>
      <font>
        <strike val="0"/>
        <outline val="0"/>
        <shadow val="0"/>
        <u val="none"/>
        <vertAlign val="baseline"/>
        <sz val="8"/>
        <color theme="1"/>
        <name val="Arial"/>
        <scheme val="minor"/>
      </font>
    </dxf>
    <dxf>
      <alignment horizontal="center" vertical="center" textRotation="0" wrapText="1" indent="0" justifyLastLine="0" shrinkToFit="0" readingOrder="0"/>
    </dxf>
    <dxf>
      <numFmt numFmtId="0" formatCode="General"/>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dxf>
    <dxf>
      <numFmt numFmtId="0" formatCode="General"/>
    </dxf>
    <dxf>
      <font>
        <b/>
      </font>
      <numFmt numFmtId="0" formatCode="General"/>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dxf>
    <dxf>
      <numFmt numFmtId="0" formatCode="General"/>
    </dxf>
    <dxf>
      <numFmt numFmtId="0" formatCode="General"/>
    </dxf>
    <dxf>
      <fill>
        <patternFill patternType="solid">
          <fgColor indexed="64"/>
          <bgColor theme="3" tint="0.5999938962981048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14" formatCode="0.00%"/>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minor"/>
      </font>
      <numFmt numFmtId="0" formatCode="General"/>
      <alignment horizontal="general" vertical="center" textRotation="0" wrapText="1" indent="0" justifyLastLine="0" shrinkToFit="0" readingOrder="0"/>
    </dxf>
    <dxf>
      <numFmt numFmtId="13" formatCode="0%"/>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left"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dxf>
    <dxf>
      <numFmt numFmtId="0" formatCode="General"/>
    </dxf>
    <dxf>
      <numFmt numFmtId="0" formatCode="General"/>
    </dxf>
    <dxf>
      <font>
        <b/>
        <i val="0"/>
        <strike val="0"/>
        <condense val="0"/>
        <extend val="0"/>
        <outline val="0"/>
        <shadow val="0"/>
        <u val="none"/>
        <vertAlign val="baseline"/>
        <sz val="11"/>
        <color theme="1"/>
        <name val="Arial"/>
        <family val="2"/>
        <scheme val="minor"/>
      </font>
    </dxf>
    <dxf>
      <font>
        <b/>
      </font>
      <numFmt numFmtId="0" formatCode="General"/>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ill>
        <patternFill>
          <bgColor theme="2" tint="-0.24994659260841701"/>
        </patternFill>
      </fill>
    </dxf>
    <dxf>
      <fill>
        <patternFill patternType="solid">
          <fgColor theme="0" tint="-0.34998626667073579"/>
          <bgColor theme="2" tint="-9.9948118533890809E-2"/>
        </patternFill>
      </fill>
    </dxf>
    <dxf>
      <font>
        <b/>
        <color theme="0"/>
      </font>
      <fill>
        <patternFill>
          <bgColor theme="3"/>
        </patternFill>
      </fill>
    </dxf>
    <dxf>
      <font>
        <b/>
        <color theme="0"/>
      </font>
      <fill>
        <patternFill>
          <bgColor theme="3"/>
        </patternFill>
      </fill>
    </dxf>
    <dxf>
      <font>
        <b/>
        <color theme="0"/>
      </font>
      <fill>
        <patternFill>
          <bgColor theme="3"/>
        </patternFill>
      </fill>
      <border>
        <top style="thick">
          <color theme="0"/>
        </top>
      </border>
    </dxf>
    <dxf>
      <font>
        <b/>
        <color theme="0"/>
      </font>
      <fill>
        <patternFill patternType="solid">
          <fgColor theme="1"/>
          <bgColor theme="3" tint="-0.24994659260841701"/>
        </patternFill>
      </fill>
      <border>
        <bottom style="thick">
          <color theme="0"/>
        </bottom>
      </border>
    </dxf>
    <dxf>
      <font>
        <color theme="1"/>
      </font>
      <fill>
        <patternFill patternType="solid">
          <fgColor theme="0" tint="-0.14996795556505021"/>
          <bgColor theme="2"/>
        </patternFill>
      </fill>
      <border>
        <vertical style="medium">
          <color theme="0"/>
        </vertical>
        <horizontal style="medium">
          <color theme="0"/>
        </horizontal>
      </border>
    </dxf>
  </dxfs>
  <tableStyles count="1" defaultTableStyle="TableStyleMedium2" defaultPivotStyle="PivotStyleLight16">
    <tableStyle name="TableStyleMedium8 2" pivot="0" count="7" xr9:uid="{00000000-0011-0000-FFFF-FFFF00000000}">
      <tableStyleElement type="wholeTable" dxfId="277"/>
      <tableStyleElement type="headerRow" dxfId="276"/>
      <tableStyleElement type="totalRow" dxfId="275"/>
      <tableStyleElement type="firstColumn" dxfId="274"/>
      <tableStyleElement type="lastColumn" dxfId="273"/>
      <tableStyleElement type="firstRowStripe" dxfId="272"/>
      <tableStyleElement type="firstColumnStripe" dxfId="271"/>
    </tableStyle>
  </tableStyles>
  <colors>
    <mruColors>
      <color rgb="FFB1DFBD"/>
      <color rgb="FFFF5050"/>
      <color rgb="FFF7743F"/>
      <color rgb="FFFFF0A3"/>
      <color rgb="FFFA8F90"/>
      <color rgb="FF8ACF9C"/>
      <color rgb="FFFFF5C2"/>
      <color rgb="FFFCB4B5"/>
      <color rgb="FFF8696B"/>
      <color rgb="FFFFEB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doughnutChart>
        <c:varyColors val="1"/>
        <c:ser>
          <c:idx val="0"/>
          <c:order val="0"/>
          <c:tx>
            <c:strRef>
              <c:f>'4_Resultats'!$F$40</c:f>
              <c:strCache>
                <c:ptCount val="1"/>
                <c:pt idx="0">
                  <c:v>Contingut</c:v>
                </c:pt>
              </c:strCache>
            </c:strRef>
          </c:tx>
          <c:dPt>
            <c:idx val="0"/>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1-6BB7-4DA2-A241-F33E95DF18B2}"/>
              </c:ext>
            </c:extLst>
          </c:dPt>
          <c:dPt>
            <c:idx val="1"/>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3-6BB7-4DA2-A241-F33E95DF18B2}"/>
              </c:ext>
            </c:extLst>
          </c:dPt>
          <c:val>
            <c:numRef>
              <c:f>'4_Resultats'!$F$41:$F$42</c:f>
              <c:numCache>
                <c:formatCode>0%</c:formatCode>
                <c:ptCount val="2"/>
                <c:pt idx="0">
                  <c:v>0.86986301369863017</c:v>
                </c:pt>
                <c:pt idx="1">
                  <c:v>0.13013698630136986</c:v>
                </c:pt>
              </c:numCache>
            </c:numRef>
          </c:val>
          <c:extLst>
            <c:ext xmlns:c16="http://schemas.microsoft.com/office/drawing/2014/chart" uri="{C3380CC4-5D6E-409C-BE32-E72D297353CC}">
              <c16:uniqueId val="{00000004-6BB7-4DA2-A241-F33E95DF18B2}"/>
            </c:ext>
          </c:extLst>
        </c:ser>
        <c:dLbls>
          <c:showLegendKey val="0"/>
          <c:showVal val="0"/>
          <c:showCatName val="0"/>
          <c:showSerName val="0"/>
          <c:showPercent val="0"/>
          <c:showBubbleSize val="0"/>
          <c:showLeaderLines val="1"/>
        </c:dLbls>
        <c:firstSliceAng val="0"/>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doughnutChart>
        <c:varyColors val="1"/>
        <c:ser>
          <c:idx val="0"/>
          <c:order val="0"/>
          <c:tx>
            <c:strRef>
              <c:f>'4_Resultats'!$G$40</c:f>
              <c:strCache>
                <c:ptCount val="1"/>
                <c:pt idx="0">
                  <c:v>Actualització</c:v>
                </c:pt>
              </c:strCache>
            </c:strRef>
          </c:tx>
          <c:dPt>
            <c:idx val="0"/>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1-31C0-4175-9160-9DF02161CA99}"/>
              </c:ext>
            </c:extLst>
          </c:dPt>
          <c:dPt>
            <c:idx val="1"/>
            <c:bubble3D val="0"/>
            <c:spPr>
              <a:solidFill>
                <a:schemeClr val="accent3">
                  <a:tint val="77000"/>
                </a:schemeClr>
              </a:solidFill>
              <a:ln w="19050">
                <a:solidFill>
                  <a:schemeClr val="lt1"/>
                </a:solidFill>
              </a:ln>
              <a:effectLst/>
            </c:spPr>
            <c:extLst>
              <c:ext xmlns:c16="http://schemas.microsoft.com/office/drawing/2014/chart" uri="{C3380CC4-5D6E-409C-BE32-E72D297353CC}">
                <c16:uniqueId val="{00000003-31C0-4175-9160-9DF02161CA99}"/>
              </c:ext>
            </c:extLst>
          </c:dPt>
          <c:val>
            <c:numRef>
              <c:f>'4_Resultats'!$G$41:$G$42</c:f>
              <c:numCache>
                <c:formatCode>0%</c:formatCode>
                <c:ptCount val="2"/>
                <c:pt idx="0">
                  <c:v>0.87671232876712324</c:v>
                </c:pt>
                <c:pt idx="1">
                  <c:v>0.12328767123287671</c:v>
                </c:pt>
              </c:numCache>
            </c:numRef>
          </c:val>
          <c:extLst>
            <c:ext xmlns:c16="http://schemas.microsoft.com/office/drawing/2014/chart" uri="{C3380CC4-5D6E-409C-BE32-E72D297353CC}">
              <c16:uniqueId val="{00000004-31C0-4175-9160-9DF02161CA99}"/>
            </c:ext>
          </c:extLst>
        </c:ser>
        <c:dLbls>
          <c:showLegendKey val="0"/>
          <c:showVal val="0"/>
          <c:showCatName val="0"/>
          <c:showSerName val="0"/>
          <c:showPercent val="0"/>
          <c:showBubbleSize val="0"/>
          <c:showLeaderLines val="1"/>
        </c:dLbls>
        <c:firstSliceAng val="0"/>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t>
            </a:r>
            <a:r>
              <a:rPr lang="en-US" baseline="0"/>
              <a:t> de c</a:t>
            </a:r>
            <a:r>
              <a:rPr lang="en-US"/>
              <a:t>ompliment per famílies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bar"/>
        <c:grouping val="clustered"/>
        <c:varyColors val="1"/>
        <c:ser>
          <c:idx val="0"/>
          <c:order val="0"/>
          <c:tx>
            <c:strRef>
              <c:f>'4_Resultats'!$L$23</c:f>
              <c:strCache>
                <c:ptCount val="1"/>
                <c:pt idx="0">
                  <c:v>% compliment</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398-4F87-8E89-0C7ABD55C360}"/>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2FC2-4C5D-A38F-DD544D829AB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2FC2-4C5D-A38F-DD544D829AB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2FC2-4C5D-A38F-DD544D829ABA}"/>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2FC2-4C5D-A38F-DD544D829ABA}"/>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578B-480F-B72B-3ACD06D1889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[0]!Graf7_Families</c:f>
              <c:strCache>
                <c:ptCount val="6"/>
                <c:pt idx="0">
                  <c:v>Informació institucional i organitzativa</c:v>
                </c:pt>
                <c:pt idx="1">
                  <c:v>Acció de govern i normativa</c:v>
                </c:pt>
                <c:pt idx="2">
                  <c:v>Contractes, convenis i subvencions</c:v>
                </c:pt>
                <c:pt idx="3">
                  <c:v>Gestió econòmica</c:v>
                </c:pt>
                <c:pt idx="4">
                  <c:v>Serveis i tràmits</c:v>
                </c:pt>
                <c:pt idx="5">
                  <c:v>Participació</c:v>
                </c:pt>
              </c:strCache>
            </c:strRef>
          </c:cat>
          <c:val>
            <c:numRef>
              <c:f>[0]!Graf7_PercentComplimentFamilies</c:f>
              <c:numCache>
                <c:formatCode>0%</c:formatCode>
                <c:ptCount val="6"/>
                <c:pt idx="0">
                  <c:v>0.84090909090909094</c:v>
                </c:pt>
                <c:pt idx="1">
                  <c:v>0.90909090909090906</c:v>
                </c:pt>
                <c:pt idx="2">
                  <c:v>0.88636363636363635</c:v>
                </c:pt>
                <c:pt idx="3">
                  <c:v>0.88235294117647056</c:v>
                </c:pt>
                <c:pt idx="4">
                  <c:v>0.86956521739130432</c:v>
                </c:pt>
                <c:pt idx="5">
                  <c:v>0.8571428571428571</c:v>
                </c:pt>
              </c:numCache>
            </c:numRef>
          </c:val>
          <c:extLst>
            <c:ext xmlns:c16="http://schemas.microsoft.com/office/drawing/2014/chart" uri="{C3380CC4-5D6E-409C-BE32-E72D297353CC}">
              <c16:uniqueId val="{00000000-C805-44D9-B24E-EF1EBBE20D07}"/>
            </c:ext>
          </c:extLst>
        </c:ser>
        <c:dLbls>
          <c:dLblPos val="outEnd"/>
          <c:showLegendKey val="0"/>
          <c:showVal val="1"/>
          <c:showCatName val="0"/>
          <c:showSerName val="0"/>
          <c:showPercent val="0"/>
          <c:showBubbleSize val="0"/>
        </c:dLbls>
        <c:gapWidth val="70"/>
        <c:axId val="1239861000"/>
        <c:axId val="1239868200"/>
      </c:barChart>
      <c:catAx>
        <c:axId val="12398610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239868200"/>
        <c:crosses val="autoZero"/>
        <c:auto val="1"/>
        <c:lblAlgn val="ctr"/>
        <c:lblOffset val="100"/>
        <c:noMultiLvlLbl val="0"/>
      </c:catAx>
      <c:valAx>
        <c:axId val="1239868200"/>
        <c:scaling>
          <c:orientation val="minMax"/>
        </c:scaling>
        <c:delete val="1"/>
        <c:axPos val="t"/>
        <c:numFmt formatCode="0%" sourceLinked="1"/>
        <c:majorTickMark val="none"/>
        <c:minorTickMark val="none"/>
        <c:tickLblPos val="nextTo"/>
        <c:crossAx val="1239861000"/>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Indicadors</a:t>
            </a:r>
            <a:r>
              <a:rPr lang="ca-ES" baseline="0"/>
              <a:t> segons el grau de compliment per subfamílies</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bar"/>
        <c:grouping val="percentStacked"/>
        <c:varyColors val="0"/>
        <c:ser>
          <c:idx val="0"/>
          <c:order val="0"/>
          <c:tx>
            <c:strRef>
              <c:f>'4_Resultats'!$H$1</c:f>
              <c:strCache>
                <c:ptCount val="1"/>
                <c:pt idx="0">
                  <c:v>Compleix totalment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[0]!Graf8_Subfamilies</c:f>
              <c:strCache>
                <c:ptCount val="19"/>
                <c:pt idx="0">
                  <c:v>Informació institucional</c:v>
                </c:pt>
                <c:pt idx="1">
                  <c:v>Organització política i retribucions</c:v>
                </c:pt>
                <c:pt idx="2">
                  <c:v>Empleats públics</c:v>
                </c:pt>
                <c:pt idx="3">
                  <c:v>Protecció de dades personals</c:v>
                </c:pt>
                <c:pt idx="4">
                  <c:v>Bon Govern i Integritat Pública</c:v>
                </c:pt>
                <c:pt idx="5">
                  <c:v>Acció de govern i grups polítics</c:v>
                </c:pt>
                <c:pt idx="6">
                  <c:v>Normativa, plans i programes</c:v>
                </c:pt>
                <c:pt idx="7">
                  <c:v>Urbanisme</c:v>
                </c:pt>
                <c:pt idx="8">
                  <c:v>Gestió documental i arxiu</c:v>
                </c:pt>
                <c:pt idx="9">
                  <c:v>Relació de contractes</c:v>
                </c:pt>
                <c:pt idx="10">
                  <c:v>Informació de la contractació pública</c:v>
                </c:pt>
                <c:pt idx="11">
                  <c:v>Convenis i subvencions</c:v>
                </c:pt>
                <c:pt idx="12">
                  <c:v>Pressupost</c:v>
                </c:pt>
                <c:pt idx="13">
                  <c:v>Gestió econòmica</c:v>
                </c:pt>
                <c:pt idx="14">
                  <c:v>Patrimoni</c:v>
                </c:pt>
                <c:pt idx="15">
                  <c:v>Estat dels serveis</c:v>
                </c:pt>
                <c:pt idx="16">
                  <c:v>Serveis</c:v>
                </c:pt>
                <c:pt idx="17">
                  <c:v>Tràmits</c:v>
                </c:pt>
                <c:pt idx="18">
                  <c:v>Participació</c:v>
                </c:pt>
              </c:strCache>
            </c:strRef>
          </c:cat>
          <c:val>
            <c:numRef>
              <c:f>[0]!Graf8_CompleixTotalSubfamilies</c:f>
              <c:numCache>
                <c:formatCode>General</c:formatCode>
                <c:ptCount val="19"/>
                <c:pt idx="0">
                  <c:v>13</c:v>
                </c:pt>
                <c:pt idx="1">
                  <c:v>5</c:v>
                </c:pt>
                <c:pt idx="2">
                  <c:v>8</c:v>
                </c:pt>
                <c:pt idx="3">
                  <c:v>3</c:v>
                </c:pt>
                <c:pt idx="4">
                  <c:v>8</c:v>
                </c:pt>
                <c:pt idx="5">
                  <c:v>12</c:v>
                </c:pt>
                <c:pt idx="6">
                  <c:v>9</c:v>
                </c:pt>
                <c:pt idx="7">
                  <c:v>5</c:v>
                </c:pt>
                <c:pt idx="8">
                  <c:v>4</c:v>
                </c:pt>
                <c:pt idx="9">
                  <c:v>6</c:v>
                </c:pt>
                <c:pt idx="10">
                  <c:v>8</c:v>
                </c:pt>
                <c:pt idx="11">
                  <c:v>5</c:v>
                </c:pt>
                <c:pt idx="12">
                  <c:v>7</c:v>
                </c:pt>
                <c:pt idx="13">
                  <c:v>6</c:v>
                </c:pt>
                <c:pt idx="14">
                  <c:v>2</c:v>
                </c:pt>
                <c:pt idx="15">
                  <c:v>5</c:v>
                </c:pt>
                <c:pt idx="16">
                  <c:v>3</c:v>
                </c:pt>
                <c:pt idx="17">
                  <c:v>12</c:v>
                </c:pt>
                <c:pt idx="18">
                  <c:v>6</c:v>
                </c:pt>
              </c:numCache>
            </c:numRef>
          </c:val>
          <c:extLst>
            <c:ext xmlns:c16="http://schemas.microsoft.com/office/drawing/2014/chart" uri="{C3380CC4-5D6E-409C-BE32-E72D297353CC}">
              <c16:uniqueId val="{00000000-9F3C-4A8D-BD7F-A4532524A79D}"/>
            </c:ext>
          </c:extLst>
        </c:ser>
        <c:ser>
          <c:idx val="1"/>
          <c:order val="1"/>
          <c:tx>
            <c:strRef>
              <c:f>'4_Resultats'!$I$1</c:f>
              <c:strCache>
                <c:ptCount val="1"/>
                <c:pt idx="0">
                  <c:v>Compleix parcialment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[0]!Graf8_Subfamilies</c:f>
              <c:strCache>
                <c:ptCount val="19"/>
                <c:pt idx="0">
                  <c:v>Informació institucional</c:v>
                </c:pt>
                <c:pt idx="1">
                  <c:v>Organització política i retribucions</c:v>
                </c:pt>
                <c:pt idx="2">
                  <c:v>Empleats públics</c:v>
                </c:pt>
                <c:pt idx="3">
                  <c:v>Protecció de dades personals</c:v>
                </c:pt>
                <c:pt idx="4">
                  <c:v>Bon Govern i Integritat Pública</c:v>
                </c:pt>
                <c:pt idx="5">
                  <c:v>Acció de govern i grups polítics</c:v>
                </c:pt>
                <c:pt idx="6">
                  <c:v>Normativa, plans i programes</c:v>
                </c:pt>
                <c:pt idx="7">
                  <c:v>Urbanisme</c:v>
                </c:pt>
                <c:pt idx="8">
                  <c:v>Gestió documental i arxiu</c:v>
                </c:pt>
                <c:pt idx="9">
                  <c:v>Relació de contractes</c:v>
                </c:pt>
                <c:pt idx="10">
                  <c:v>Informació de la contractació pública</c:v>
                </c:pt>
                <c:pt idx="11">
                  <c:v>Convenis i subvencions</c:v>
                </c:pt>
                <c:pt idx="12">
                  <c:v>Pressupost</c:v>
                </c:pt>
                <c:pt idx="13">
                  <c:v>Gestió econòmica</c:v>
                </c:pt>
                <c:pt idx="14">
                  <c:v>Patrimoni</c:v>
                </c:pt>
                <c:pt idx="15">
                  <c:v>Estat dels serveis</c:v>
                </c:pt>
                <c:pt idx="16">
                  <c:v>Serveis</c:v>
                </c:pt>
                <c:pt idx="17">
                  <c:v>Tràmits</c:v>
                </c:pt>
                <c:pt idx="18">
                  <c:v>Participació</c:v>
                </c:pt>
              </c:strCache>
            </c:strRef>
          </c:cat>
          <c:val>
            <c:numRef>
              <c:f>[0]!Graf8_CompleixParcialSubfamilies</c:f>
              <c:numCache>
                <c:formatCode>General</c:formatCode>
                <c:ptCount val="19"/>
                <c:pt idx="0">
                  <c:v>#N/A</c:v>
                </c:pt>
                <c:pt idx="1">
                  <c:v>#N/A</c:v>
                </c:pt>
                <c:pt idx="2">
                  <c:v>#N/A</c:v>
                </c:pt>
                <c:pt idx="3">
                  <c:v>#N/A</c:v>
                </c:pt>
                <c:pt idx="4">
                  <c:v>#N/A</c:v>
                </c:pt>
                <c:pt idx="5">
                  <c:v>#N/A</c:v>
                </c:pt>
                <c:pt idx="6">
                  <c:v>#N/A</c:v>
                </c:pt>
                <c:pt idx="7">
                  <c:v>#N/A</c:v>
                </c:pt>
                <c:pt idx="8">
                  <c:v>#N/A</c:v>
                </c:pt>
                <c:pt idx="9">
                  <c:v>1</c:v>
                </c:pt>
                <c:pt idx="10">
                  <c:v>#N/A</c:v>
                </c:pt>
                <c:pt idx="11">
                  <c:v>#N/A</c:v>
                </c:pt>
                <c:pt idx="12">
                  <c:v>#N/A</c:v>
                </c:pt>
                <c:pt idx="13">
                  <c:v>#N/A</c:v>
                </c:pt>
                <c:pt idx="14">
                  <c:v>#N/A</c:v>
                </c:pt>
                <c:pt idx="15">
                  <c:v>#N/A</c:v>
                </c:pt>
                <c:pt idx="16">
                  <c:v>#N/A</c:v>
                </c:pt>
                <c:pt idx="17">
                  <c:v>#N/A</c:v>
                </c:pt>
                <c:pt idx="18">
                  <c:v>#N/A</c:v>
                </c:pt>
              </c:numCache>
            </c:numRef>
          </c:val>
          <c:extLst>
            <c:ext xmlns:c16="http://schemas.microsoft.com/office/drawing/2014/chart" uri="{C3380CC4-5D6E-409C-BE32-E72D297353CC}">
              <c16:uniqueId val="{00000001-9F3C-4A8D-BD7F-A4532524A79D}"/>
            </c:ext>
          </c:extLst>
        </c:ser>
        <c:ser>
          <c:idx val="2"/>
          <c:order val="2"/>
          <c:tx>
            <c:strRef>
              <c:f>'4_Resultats'!$J$1</c:f>
              <c:strCache>
                <c:ptCount val="1"/>
                <c:pt idx="0">
                  <c:v>No compleix</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[0]!Graf8_Subfamilies</c:f>
              <c:strCache>
                <c:ptCount val="19"/>
                <c:pt idx="0">
                  <c:v>Informació institucional</c:v>
                </c:pt>
                <c:pt idx="1">
                  <c:v>Organització política i retribucions</c:v>
                </c:pt>
                <c:pt idx="2">
                  <c:v>Empleats públics</c:v>
                </c:pt>
                <c:pt idx="3">
                  <c:v>Protecció de dades personals</c:v>
                </c:pt>
                <c:pt idx="4">
                  <c:v>Bon Govern i Integritat Pública</c:v>
                </c:pt>
                <c:pt idx="5">
                  <c:v>Acció de govern i grups polítics</c:v>
                </c:pt>
                <c:pt idx="6">
                  <c:v>Normativa, plans i programes</c:v>
                </c:pt>
                <c:pt idx="7">
                  <c:v>Urbanisme</c:v>
                </c:pt>
                <c:pt idx="8">
                  <c:v>Gestió documental i arxiu</c:v>
                </c:pt>
                <c:pt idx="9">
                  <c:v>Relació de contractes</c:v>
                </c:pt>
                <c:pt idx="10">
                  <c:v>Informació de la contractació pública</c:v>
                </c:pt>
                <c:pt idx="11">
                  <c:v>Convenis i subvencions</c:v>
                </c:pt>
                <c:pt idx="12">
                  <c:v>Pressupost</c:v>
                </c:pt>
                <c:pt idx="13">
                  <c:v>Gestió econòmica</c:v>
                </c:pt>
                <c:pt idx="14">
                  <c:v>Patrimoni</c:v>
                </c:pt>
                <c:pt idx="15">
                  <c:v>Estat dels serveis</c:v>
                </c:pt>
                <c:pt idx="16">
                  <c:v>Serveis</c:v>
                </c:pt>
                <c:pt idx="17">
                  <c:v>Tràmits</c:v>
                </c:pt>
                <c:pt idx="18">
                  <c:v>Participació</c:v>
                </c:pt>
              </c:strCache>
            </c:strRef>
          </c:cat>
          <c:val>
            <c:numRef>
              <c:f>[0]!Graf8_NoCompleixSubfamilies</c:f>
              <c:numCache>
                <c:formatCode>General</c:formatCode>
                <c:ptCount val="19"/>
                <c:pt idx="0">
                  <c:v>1</c:v>
                </c:pt>
                <c:pt idx="1">
                  <c:v>2</c:v>
                </c:pt>
                <c:pt idx="2">
                  <c:v>4</c:v>
                </c:pt>
                <c:pt idx="3">
                  <c:v>#N/A</c:v>
                </c:pt>
                <c:pt idx="4">
                  <c:v>#N/A</c:v>
                </c:pt>
                <c:pt idx="5">
                  <c:v>1</c:v>
                </c:pt>
                <c:pt idx="6">
                  <c:v>2</c:v>
                </c:pt>
                <c:pt idx="7">
                  <c:v>#N/A</c:v>
                </c:pt>
                <c:pt idx="8">
                  <c:v>#N/A</c:v>
                </c:pt>
                <c:pt idx="9">
                  <c:v>#N/A</c:v>
                </c:pt>
                <c:pt idx="10">
                  <c:v>#N/A</c:v>
                </c:pt>
                <c:pt idx="11">
                  <c:v>2</c:v>
                </c:pt>
                <c:pt idx="12">
                  <c:v>#N/A</c:v>
                </c:pt>
                <c:pt idx="13">
                  <c:v>#N/A</c:v>
                </c:pt>
                <c:pt idx="14">
                  <c:v>2</c:v>
                </c:pt>
                <c:pt idx="15">
                  <c:v>2</c:v>
                </c:pt>
                <c:pt idx="16">
                  <c:v>1</c:v>
                </c:pt>
                <c:pt idx="17">
                  <c:v>#N/A</c:v>
                </c:pt>
                <c:pt idx="18">
                  <c:v>1</c:v>
                </c:pt>
              </c:numCache>
            </c:numRef>
          </c:val>
          <c:extLst>
            <c:ext xmlns:c16="http://schemas.microsoft.com/office/drawing/2014/chart" uri="{C3380CC4-5D6E-409C-BE32-E72D297353CC}">
              <c16:uniqueId val="{00000002-9F3C-4A8D-BD7F-A4532524A79D}"/>
            </c:ext>
          </c:extLst>
        </c:ser>
        <c:dLbls>
          <c:dLblPos val="ctr"/>
          <c:showLegendKey val="0"/>
          <c:showVal val="1"/>
          <c:showCatName val="0"/>
          <c:showSerName val="0"/>
          <c:showPercent val="0"/>
          <c:showBubbleSize val="0"/>
        </c:dLbls>
        <c:gapWidth val="70"/>
        <c:overlap val="100"/>
        <c:axId val="1057034760"/>
        <c:axId val="1057035840"/>
      </c:barChart>
      <c:catAx>
        <c:axId val="10570347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057035840"/>
        <c:crosses val="autoZero"/>
        <c:auto val="1"/>
        <c:lblAlgn val="ctr"/>
        <c:lblOffset val="100"/>
        <c:noMultiLvlLbl val="0"/>
      </c:catAx>
      <c:valAx>
        <c:axId val="1057035840"/>
        <c:scaling>
          <c:orientation val="minMax"/>
        </c:scaling>
        <c:delete val="1"/>
        <c:axPos val="t"/>
        <c:numFmt formatCode="0%" sourceLinked="1"/>
        <c:majorTickMark val="none"/>
        <c:minorTickMark val="none"/>
        <c:tickLblPos val="nextTo"/>
        <c:crossAx val="1057034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 de compliment de les variables per fases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'4_Resultats'!$F$32</c:f>
              <c:strCache>
                <c:ptCount val="1"/>
                <c:pt idx="0">
                  <c:v>Contingut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[0]!Graf5_ContingutFases</c:f>
              <c:numCache>
                <c:formatCode>0%</c:formatCode>
                <c:ptCount val="5"/>
                <c:pt idx="0">
                  <c:v>0.90909090909090906</c:v>
                </c:pt>
                <c:pt idx="1">
                  <c:v>0.52941176470588236</c:v>
                </c:pt>
                <c:pt idx="2">
                  <c:v>1</c:v>
                </c:pt>
                <c:pt idx="3">
                  <c:v>0.78260869565217395</c:v>
                </c:pt>
                <c:pt idx="4">
                  <c:v>0.97368421052631582</c:v>
                </c:pt>
              </c:numCache>
            </c:numRef>
          </c:val>
          <c:extLst>
            <c:ext xmlns:c16="http://schemas.microsoft.com/office/drawing/2014/chart" uri="{C3380CC4-5D6E-409C-BE32-E72D297353CC}">
              <c16:uniqueId val="{00000000-678F-494C-9A73-6B8DB05B1E48}"/>
            </c:ext>
          </c:extLst>
        </c:ser>
        <c:ser>
          <c:idx val="1"/>
          <c:order val="1"/>
          <c:tx>
            <c:strRef>
              <c:f>'4_Resultats'!$G$32</c:f>
              <c:strCache>
                <c:ptCount val="1"/>
                <c:pt idx="0">
                  <c:v>Actualització</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[0]!Graf5_ActualitzacioFases</c:f>
              <c:numCache>
                <c:formatCode>0%</c:formatCode>
                <c:ptCount val="5"/>
                <c:pt idx="0">
                  <c:v>0.92727272727272725</c:v>
                </c:pt>
                <c:pt idx="1">
                  <c:v>0.52941176470588236</c:v>
                </c:pt>
                <c:pt idx="2">
                  <c:v>1</c:v>
                </c:pt>
                <c:pt idx="3">
                  <c:v>0.78260869565217395</c:v>
                </c:pt>
                <c:pt idx="4">
                  <c:v>0.97368421052631582</c:v>
                </c:pt>
              </c:numCache>
            </c:numRef>
          </c:val>
          <c:extLst>
            <c:ext xmlns:c16="http://schemas.microsoft.com/office/drawing/2014/chart" uri="{C3380CC4-5D6E-409C-BE32-E72D297353CC}">
              <c16:uniqueId val="{00000001-678F-494C-9A73-6B8DB05B1E48}"/>
            </c:ext>
          </c:extLst>
        </c:ser>
        <c:dLbls>
          <c:dLblPos val="outEnd"/>
          <c:showLegendKey val="0"/>
          <c:showVal val="1"/>
          <c:showCatName val="0"/>
          <c:showSerName val="0"/>
          <c:showPercent val="0"/>
          <c:showBubbleSize val="0"/>
        </c:dLbls>
        <c:gapWidth val="219"/>
        <c:overlap val="-27"/>
        <c:axId val="79836895"/>
        <c:axId val="79826495"/>
      </c:barChart>
      <c:catAx>
        <c:axId val="7983689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79826495"/>
        <c:crosses val="autoZero"/>
        <c:auto val="1"/>
        <c:lblAlgn val="ctr"/>
        <c:lblOffset val="100"/>
        <c:noMultiLvlLbl val="0"/>
      </c:catAx>
      <c:valAx>
        <c:axId val="79826495"/>
        <c:scaling>
          <c:orientation val="minMax"/>
        </c:scaling>
        <c:delete val="1"/>
        <c:axPos val="l"/>
        <c:numFmt formatCode="0%" sourceLinked="1"/>
        <c:majorTickMark val="none"/>
        <c:minorTickMark val="none"/>
        <c:tickLblPos val="nextTo"/>
        <c:crossAx val="79836895"/>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Indicadors segons el grau</a:t>
            </a:r>
            <a:r>
              <a:rPr lang="ca-ES" baseline="0"/>
              <a:t> de compliment per fases</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bar"/>
        <c:grouping val="percentStacked"/>
        <c:varyColors val="0"/>
        <c:ser>
          <c:idx val="0"/>
          <c:order val="0"/>
          <c:tx>
            <c:strRef>
              <c:f>'4_Resultats'!$H$32</c:f>
              <c:strCache>
                <c:ptCount val="1"/>
                <c:pt idx="0">
                  <c:v>Compleix totalment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[0]!Graf6_CompleixTotalFases</c:f>
              <c:numCache>
                <c:formatCode>General</c:formatCode>
                <c:ptCount val="5"/>
                <c:pt idx="0">
                  <c:v>50</c:v>
                </c:pt>
                <c:pt idx="1">
                  <c:v>9</c:v>
                </c:pt>
                <c:pt idx="2">
                  <c:v>13</c:v>
                </c:pt>
                <c:pt idx="3">
                  <c:v>18</c:v>
                </c:pt>
                <c:pt idx="4">
                  <c:v>37</c:v>
                </c:pt>
              </c:numCache>
            </c:numRef>
          </c:val>
          <c:extLst>
            <c:ext xmlns:c16="http://schemas.microsoft.com/office/drawing/2014/chart" uri="{C3380CC4-5D6E-409C-BE32-E72D297353CC}">
              <c16:uniqueId val="{00000000-2C69-42CA-B7E3-2F44B5DD05CE}"/>
            </c:ext>
          </c:extLst>
        </c:ser>
        <c:ser>
          <c:idx val="1"/>
          <c:order val="1"/>
          <c:tx>
            <c:strRef>
              <c:f>'4_Resultats'!$I$32</c:f>
              <c:strCache>
                <c:ptCount val="1"/>
                <c:pt idx="0">
                  <c:v>Compleix parcialment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[0]!Graf6_CompleixParcialFases</c:f>
              <c:numCache>
                <c:formatCode>General</c:formatCode>
                <c:ptCount val="5"/>
                <c:pt idx="0">
                  <c:v>1</c:v>
                </c:pt>
                <c:pt idx="1">
                  <c:v>#N/A</c:v>
                </c:pt>
                <c:pt idx="2">
                  <c:v>#N/A</c:v>
                </c:pt>
                <c:pt idx="3">
                  <c:v>#N/A</c:v>
                </c:pt>
                <c:pt idx="4">
                  <c:v>#N/A</c:v>
                </c:pt>
              </c:numCache>
            </c:numRef>
          </c:val>
          <c:extLst>
            <c:ext xmlns:c16="http://schemas.microsoft.com/office/drawing/2014/chart" uri="{C3380CC4-5D6E-409C-BE32-E72D297353CC}">
              <c16:uniqueId val="{00000001-2C69-42CA-B7E3-2F44B5DD05CE}"/>
            </c:ext>
          </c:extLst>
        </c:ser>
        <c:ser>
          <c:idx val="2"/>
          <c:order val="2"/>
          <c:tx>
            <c:strRef>
              <c:f>'4_Resultats'!$J$32</c:f>
              <c:strCache>
                <c:ptCount val="1"/>
                <c:pt idx="0">
                  <c:v>No compleix</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ca-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[0]!Graf56_FasesAvaluacio</c:f>
              <c:strCache>
                <c:ptCount val="5"/>
                <c:pt idx="0">
                  <c:v>Fase 1</c:v>
                </c:pt>
                <c:pt idx="1">
                  <c:v>Fase 2</c:v>
                </c:pt>
                <c:pt idx="2">
                  <c:v>Fase 3</c:v>
                </c:pt>
                <c:pt idx="3">
                  <c:v>Fase 4</c:v>
                </c:pt>
                <c:pt idx="4">
                  <c:v>Fase 5</c:v>
                </c:pt>
              </c:strCache>
            </c:strRef>
          </c:cat>
          <c:val>
            <c:numRef>
              <c:f>[0]!Graf6_NoCompleixFases</c:f>
              <c:numCache>
                <c:formatCode>General</c:formatCode>
                <c:ptCount val="5"/>
                <c:pt idx="0">
                  <c:v>4</c:v>
                </c:pt>
                <c:pt idx="1">
                  <c:v>8</c:v>
                </c:pt>
                <c:pt idx="2">
                  <c:v>#N/A</c:v>
                </c:pt>
                <c:pt idx="3">
                  <c:v>5</c:v>
                </c:pt>
                <c:pt idx="4">
                  <c:v>1</c:v>
                </c:pt>
              </c:numCache>
            </c:numRef>
          </c:val>
          <c:extLst>
            <c:ext xmlns:c16="http://schemas.microsoft.com/office/drawing/2014/chart" uri="{C3380CC4-5D6E-409C-BE32-E72D297353CC}">
              <c16:uniqueId val="{00000002-2C69-42CA-B7E3-2F44B5DD05CE}"/>
            </c:ext>
          </c:extLst>
        </c:ser>
        <c:dLbls>
          <c:dLblPos val="ctr"/>
          <c:showLegendKey val="0"/>
          <c:showVal val="1"/>
          <c:showCatName val="0"/>
          <c:showSerName val="0"/>
          <c:showPercent val="0"/>
          <c:showBubbleSize val="0"/>
        </c:dLbls>
        <c:gapWidth val="70"/>
        <c:overlap val="100"/>
        <c:axId val="1181340591"/>
        <c:axId val="1181341423"/>
      </c:barChart>
      <c:catAx>
        <c:axId val="11813405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181341423"/>
        <c:crosses val="autoZero"/>
        <c:auto val="1"/>
        <c:lblAlgn val="ctr"/>
        <c:lblOffset val="100"/>
        <c:noMultiLvlLbl val="0"/>
      </c:catAx>
      <c:valAx>
        <c:axId val="1181341423"/>
        <c:scaling>
          <c:orientation val="minMax"/>
        </c:scaling>
        <c:delete val="1"/>
        <c:axPos val="t"/>
        <c:numFmt formatCode="0%" sourceLinked="1"/>
        <c:majorTickMark val="none"/>
        <c:minorTickMark val="none"/>
        <c:tickLblPos val="nextTo"/>
        <c:crossAx val="1181340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0"/>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doughnutChart>
        <c:varyColors val="1"/>
        <c:ser>
          <c:idx val="0"/>
          <c:order val="0"/>
          <c:tx>
            <c:strRef>
              <c:f>'4_Resultats'!$L$40</c:f>
              <c:strCache>
                <c:ptCount val="1"/>
                <c:pt idx="0">
                  <c:v>% compliment</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015-4FEB-8DC2-E99C39BDEDC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015-4FEB-8DC2-E99C39BDEDCA}"/>
              </c:ext>
            </c:extLst>
          </c:dPt>
          <c:val>
            <c:numRef>
              <c:f>'4_Resultats'!$L$41:$L$42</c:f>
              <c:numCache>
                <c:formatCode>0%</c:formatCode>
                <c:ptCount val="2"/>
                <c:pt idx="0">
                  <c:v>0.87328767123287676</c:v>
                </c:pt>
                <c:pt idx="1">
                  <c:v>0.12671232876712324</c:v>
                </c:pt>
              </c:numCache>
            </c:numRef>
          </c:val>
          <c:extLst>
            <c:ext xmlns:c16="http://schemas.microsoft.com/office/drawing/2014/chart" uri="{C3380CC4-5D6E-409C-BE32-E72D297353CC}">
              <c16:uniqueId val="{00000004-3015-4FEB-8DC2-E99C39BDEDCA}"/>
            </c:ext>
          </c:extLst>
        </c:ser>
        <c:dLbls>
          <c:showLegendKey val="0"/>
          <c:showVal val="0"/>
          <c:showCatName val="0"/>
          <c:showSerName val="0"/>
          <c:showPercent val="0"/>
          <c:showBubbleSize val="0"/>
          <c:showLeaderLines val="1"/>
        </c:dLbls>
        <c:firstSliceAng val="0"/>
        <c:holeSize val="7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657450</xdr:colOff>
      <xdr:row>15</xdr:row>
      <xdr:rowOff>0</xdr:rowOff>
    </xdr:from>
    <xdr:to>
      <xdr:col>5</xdr:col>
      <xdr:colOff>114075</xdr:colOff>
      <xdr:row>24</xdr:row>
      <xdr:rowOff>143862</xdr:rowOff>
    </xdr:to>
    <xdr:graphicFrame macro="">
      <xdr:nvGraphicFramePr>
        <xdr:cNvPr id="3" name="Gràfic 2">
          <a:extLst>
            <a:ext uri="{FF2B5EF4-FFF2-40B4-BE49-F238E27FC236}">
              <a16:creationId xmlns:a16="http://schemas.microsoft.com/office/drawing/2014/main" id="{9CF81443-15E0-4D96-8BA9-7BAD2EAB1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543375</xdr:colOff>
      <xdr:row>15</xdr:row>
      <xdr:rowOff>0</xdr:rowOff>
    </xdr:from>
    <xdr:to>
      <xdr:col>8</xdr:col>
      <xdr:colOff>0</xdr:colOff>
      <xdr:row>24</xdr:row>
      <xdr:rowOff>143862</xdr:rowOff>
    </xdr:to>
    <xdr:graphicFrame macro="">
      <xdr:nvGraphicFramePr>
        <xdr:cNvPr id="4" name="Gràfic 3">
          <a:extLst>
            <a:ext uri="{FF2B5EF4-FFF2-40B4-BE49-F238E27FC236}">
              <a16:creationId xmlns:a16="http://schemas.microsoft.com/office/drawing/2014/main" id="{EC0A149B-5051-4230-A13F-A3130D3167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52</xdr:row>
      <xdr:rowOff>191713</xdr:rowOff>
    </xdr:from>
    <xdr:to>
      <xdr:col>3</xdr:col>
      <xdr:colOff>745425</xdr:colOff>
      <xdr:row>70</xdr:row>
      <xdr:rowOff>0</xdr:rowOff>
    </xdr:to>
    <xdr:graphicFrame macro="">
      <xdr:nvGraphicFramePr>
        <xdr:cNvPr id="6" name="Gràfic 1">
          <a:extLst>
            <a:ext uri="{FF2B5EF4-FFF2-40B4-BE49-F238E27FC236}">
              <a16:creationId xmlns:a16="http://schemas.microsoft.com/office/drawing/2014/main" id="{7F874CAF-B279-B8D6-5C36-43DFEB7E25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53</xdr:row>
      <xdr:rowOff>0</xdr:rowOff>
    </xdr:from>
    <xdr:to>
      <xdr:col>7</xdr:col>
      <xdr:colOff>745425</xdr:colOff>
      <xdr:row>104</xdr:row>
      <xdr:rowOff>0</xdr:rowOff>
    </xdr:to>
    <xdr:graphicFrame macro="">
      <xdr:nvGraphicFramePr>
        <xdr:cNvPr id="7" name="Gràfic 2">
          <a:extLst>
            <a:ext uri="{FF2B5EF4-FFF2-40B4-BE49-F238E27FC236}">
              <a16:creationId xmlns:a16="http://schemas.microsoft.com/office/drawing/2014/main" id="{F37B9024-8756-123A-5346-72E4F3834B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26</xdr:row>
      <xdr:rowOff>187939</xdr:rowOff>
    </xdr:from>
    <xdr:to>
      <xdr:col>7</xdr:col>
      <xdr:colOff>755325</xdr:colOff>
      <xdr:row>38</xdr:row>
      <xdr:rowOff>0</xdr:rowOff>
    </xdr:to>
    <xdr:graphicFrame macro="">
      <xdr:nvGraphicFramePr>
        <xdr:cNvPr id="9" name="Gráfico 2">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38</xdr:row>
      <xdr:rowOff>1</xdr:rowOff>
    </xdr:from>
    <xdr:to>
      <xdr:col>7</xdr:col>
      <xdr:colOff>755325</xdr:colOff>
      <xdr:row>52</xdr:row>
      <xdr:rowOff>0</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15</xdr:row>
      <xdr:rowOff>0</xdr:rowOff>
    </xdr:from>
    <xdr:to>
      <xdr:col>2</xdr:col>
      <xdr:colOff>228150</xdr:colOff>
      <xdr:row>24</xdr:row>
      <xdr:rowOff>143862</xdr:rowOff>
    </xdr:to>
    <xdr:graphicFrame macro="">
      <xdr:nvGraphicFramePr>
        <xdr:cNvPr id="8" name="Gràfic 7">
          <a:extLst>
            <a:ext uri="{FF2B5EF4-FFF2-40B4-BE49-F238E27FC236}">
              <a16:creationId xmlns:a16="http://schemas.microsoft.com/office/drawing/2014/main" id="{E91B19A8-47A5-4684-9B89-E4AF163ED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0.25671</cdr:x>
      <cdr:y>0.46565</cdr:y>
    </cdr:from>
    <cdr:to>
      <cdr:x>0.7557</cdr:x>
      <cdr:y>0.66904</cdr:y>
    </cdr:to>
    <cdr:sp macro="" textlink="'4_Resultats'!$F$41">
      <cdr:nvSpPr>
        <cdr:cNvPr id="4" name="CuadroTexto 1"/>
        <cdr:cNvSpPr txBox="1">
          <a:spLocks xmlns:a="http://schemas.openxmlformats.org/drawingml/2006/main" noChangeAspect="1"/>
        </cdr:cNvSpPr>
      </cdr:nvSpPr>
      <cdr:spPr>
        <a:xfrm xmlns:a="http://schemas.openxmlformats.org/drawingml/2006/main">
          <a:off x="370398" y="824194"/>
          <a:ext cx="720000" cy="360000"/>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C2A4AAD-C4C9-43E4-8E6A-B5B86CB4B654}" type="TxLink">
            <a:rPr lang="en-US" sz="1400" b="1" i="0" u="none" strike="noStrike">
              <a:solidFill>
                <a:schemeClr val="accent1">
                  <a:lumMod val="75000"/>
                </a:schemeClr>
              </a:solidFill>
              <a:latin typeface="Arial"/>
              <a:cs typeface="Arial"/>
            </a:rPr>
            <a:pPr algn="ctr"/>
            <a:t>87%</a:t>
          </a:fld>
          <a:endParaRPr lang="ca-ES" sz="2400" b="1">
            <a:solidFill>
              <a:schemeClr val="accent1">
                <a:lumMod val="7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0.25516</cdr:x>
      <cdr:y>0.46404</cdr:y>
    </cdr:from>
    <cdr:to>
      <cdr:x>0.75366</cdr:x>
      <cdr:y>0.66743</cdr:y>
    </cdr:to>
    <cdr:sp macro="" textlink="'4_Resultats'!$G$41">
      <cdr:nvSpPr>
        <cdr:cNvPr id="3" name="CuadroTexto 1"/>
        <cdr:cNvSpPr txBox="1">
          <a:spLocks xmlns:a="http://schemas.openxmlformats.org/drawingml/2006/main" noChangeAspect="1"/>
        </cdr:cNvSpPr>
      </cdr:nvSpPr>
      <cdr:spPr>
        <a:xfrm xmlns:a="http://schemas.openxmlformats.org/drawingml/2006/main">
          <a:off x="368539" y="821355"/>
          <a:ext cx="720000" cy="360000"/>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8488C9A-E826-4FFB-91BC-2BF40C71B7E4}" type="TxLink">
            <a:rPr lang="en-US" sz="1400" b="1" i="0" u="none" strike="noStrike">
              <a:solidFill>
                <a:schemeClr val="accent3">
                  <a:lumMod val="75000"/>
                </a:schemeClr>
              </a:solidFill>
              <a:latin typeface="Arial"/>
              <a:cs typeface="Arial"/>
            </a:rPr>
            <a:pPr algn="ctr"/>
            <a:t>88%</a:t>
          </a:fld>
          <a:endParaRPr lang="ca-ES" sz="4000" b="1">
            <a:solidFill>
              <a:schemeClr val="accent3">
                <a:lumMod val="75000"/>
              </a:schemeClr>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0.2555</cdr:x>
      <cdr:y>0.46582</cdr:y>
    </cdr:from>
    <cdr:to>
      <cdr:x>0.75449</cdr:x>
      <cdr:y>0.66921</cdr:y>
    </cdr:to>
    <cdr:sp macro="" textlink="'4_Resultats'!$L$41">
      <cdr:nvSpPr>
        <cdr:cNvPr id="4" name="CuadroTexto 1"/>
        <cdr:cNvSpPr txBox="1">
          <a:spLocks xmlns:a="http://schemas.openxmlformats.org/drawingml/2006/main" noChangeAspect="1"/>
        </cdr:cNvSpPr>
      </cdr:nvSpPr>
      <cdr:spPr>
        <a:xfrm xmlns:a="http://schemas.openxmlformats.org/drawingml/2006/main">
          <a:off x="368652" y="824497"/>
          <a:ext cx="720000" cy="360000"/>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F52399ED-F0CF-4267-9D1E-C038ADBB3010}" type="TxLink">
            <a:rPr lang="en-US" sz="1400" b="1" i="0" u="none" strike="noStrike">
              <a:solidFill>
                <a:schemeClr val="accent2">
                  <a:lumMod val="75000"/>
                </a:schemeClr>
              </a:solidFill>
              <a:latin typeface="Arial"/>
              <a:cs typeface="Arial"/>
            </a:rPr>
            <a:pPr algn="ctr"/>
            <a:t>87%</a:t>
          </a:fld>
          <a:endParaRPr lang="ca-ES" sz="2400" b="1">
            <a:solidFill>
              <a:schemeClr val="accent2">
                <a:lumMod val="75000"/>
              </a:schemeClr>
            </a:solidFill>
          </a:endParaRPr>
        </a:p>
      </cdr:txBody>
    </cdr:sp>
  </cdr:relSizeAnchor>
</c:userShape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2" xr16:uid="{00000000-0016-0000-0500-000000000000}" autoFormatId="16" applyNumberFormats="0" applyBorderFormats="0" applyFontFormats="0" applyPatternFormats="0" applyAlignmentFormats="0" applyWidthHeightFormats="0">
  <queryTableRefresh nextId="80" unboundColumnsRight="12">
    <queryTableFields count="34">
      <queryTableField id="1" name="Núm. ORDRE" tableColumnId="1"/>
      <queryTableField id="51" dataBound="0" tableColumnId="33"/>
      <queryTableField id="2" name="NOMFAMILIA" tableColumnId="2"/>
      <queryTableField id="3" name="NOMSUBFAMILIA" tableColumnId="3"/>
      <queryTableField id="4" name="NOMITEM " tableColumnId="4"/>
      <queryTableField id="5" name="CODI FITXA MUNICAT" tableColumnId="5"/>
      <queryTableField id="6" name="TIPUS ÍTEM" tableColumnId="6"/>
      <queryTableField id="73" dataBound="0" tableColumnId="59"/>
      <queryTableField id="75" dataBound="0" tableColumnId="61"/>
      <queryTableField id="22" dataBound="0" tableColumnId="22"/>
      <queryTableField id="30" dataBound="0" tableColumnId="28"/>
      <queryTableField id="33" dataBound="0" tableColumnId="31"/>
      <queryTableField id="29" dataBound="0" tableColumnId="27"/>
      <queryTableField id="48" dataBound="0" tableColumnId="43"/>
      <queryTableField id="79" dataBound="0" tableColumnId="8"/>
      <queryTableField id="78" dataBound="0" tableColumnId="7"/>
      <queryTableField id="10" name="FREQÜÈNCIA ACTUALITZACIÓ REQUERIDA" tableColumnId="10"/>
      <queryTableField id="11" name="LLEI TRANSPARENCIA 192014 CAT" tableColumnId="11"/>
      <queryTableField id="12" name="LLEI TRANSPARENCIA 192013 ESP" tableColumnId="12"/>
      <queryTableField id="13" name="Decret 8/2021" tableColumnId="13"/>
      <queryTableField id="14" name="Observacions a la normativa" tableColumnId="14"/>
      <queryTableField id="19" name="ENLLAÇ AJUDA" tableColumnId="19"/>
      <queryTableField id="69" dataBound="0" tableColumnId="55"/>
      <queryTableField id="67" dataBound="0" tableColumnId="34"/>
      <queryTableField id="66" dataBound="0" tableColumnId="42"/>
      <queryTableField id="65" dataBound="0" tableColumnId="45"/>
      <queryTableField id="64" dataBound="0" tableColumnId="46"/>
      <queryTableField id="63" dataBound="0" tableColumnId="47"/>
      <queryTableField id="62" dataBound="0" tableColumnId="48"/>
      <queryTableField id="61" dataBound="0" tableColumnId="49"/>
      <queryTableField id="72" dataBound="0" tableColumnId="58"/>
      <queryTableField id="59" dataBound="0" tableColumnId="51"/>
      <queryTableField id="58" dataBound="0" tableColumnId="52"/>
      <queryTableField id="57" dataBound="0" tableColumnId="53"/>
    </queryTableFields>
    <queryTableDeletedFields count="7">
      <deletedField name="PRIORITZACIÓ PER AJUNTAMENTS"/>
      <deletedField name="VISITES GLOBALS (des de juny 2023)"/>
      <deletedField name="COMENTARIS GLOBALS (FF)"/>
      <deletedField name="ITA 2017"/>
      <deletedField name="INFOPARTICIPA 2021"/>
      <deletedField name="INFOPARTICIPA 2022"/>
      <deletedField name="INFOPARTICIPA 2023"/>
    </queryTableDeletedFields>
  </queryTableRefresh>
</queryTable>
</file>

<file path=xl/tables/_rels/table7.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Avaluacio" displayName="Avaluacio" ref="A1:N149" totalsRowCount="1" headerRowCellStyle="Normal" dataCellStyle="Normal">
  <autoFilter ref="A1:N148" xr:uid="{00000000-0009-0000-0100-000008000000}">
    <filterColumn colId="1">
      <filters>
        <filter val="Sí"/>
      </filters>
    </filterColumn>
    <filterColumn colId="5">
      <filters>
        <filter val="Fase 5"/>
      </filters>
    </filterColumn>
  </autoFilter>
  <tableColumns count="14">
    <tableColumn id="1" xr3:uid="{00000000-0010-0000-0000-000001000000}" name="Codi ítem" totalsRowLabel="Total" dataDxfId="270" totalsRowDxfId="9" dataCellStyle="Normal"/>
    <tableColumn id="2" xr3:uid="{00000000-0010-0000-0000-000002000000}" name="Avaluable" totalsRowFunction="custom" dataDxfId="269" totalsRowDxfId="8" dataCellStyle="Normal">
      <calculatedColumnFormula>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calculatedColumnFormula>
      <totalsRowFormula>COUNTIF(Avaluacio[Avaluable],"Sí")</totalsRowFormula>
    </tableColumn>
    <tableColumn id="3" xr3:uid="{00000000-0010-0000-0000-000003000000}" name="Ítem" dataDxfId="268" totalsRowDxfId="267" dataCellStyle="Normal">
      <calculatedColumnFormula>VLOOKUP(Avaluacio[[#This Row],[Codi ítem]],Metodologia[[Codi ítem]:[Ítem]],COLUMN(Metodologia[[#Headers],[Ítem]]),FALSE)</calculatedColumnFormula>
    </tableColumn>
    <tableColumn id="4" xr3:uid="{00000000-0010-0000-0000-000004000000}" name="Família" dataDxfId="266" dataCellStyle="Normal">
      <calculatedColumnFormula>VLOOKUP(Avaluacio[[#This Row],[Codi ítem]],Metodologia[[Codi ítem]:[Família]],COLUMN(Metodologia[[#Headers],[Família]]),FALSE)</calculatedColumnFormula>
    </tableColumn>
    <tableColumn id="5" xr3:uid="{00000000-0010-0000-0000-000005000000}" name="Subfamília" dataDxfId="265" dataCellStyle="Normal">
      <calculatedColumnFormula>VLOOKUP(Avaluacio[[#This Row],[Codi ítem]],Metodologia[[Codi ítem]:[Subfamília]],COLUMN(Metodologia[[#Headers],[Subfamília]]),FALSE)</calculatedColumnFormula>
    </tableColumn>
    <tableColumn id="13" xr3:uid="{00000000-0010-0000-0000-00000D000000}" name="Fase" dataDxfId="264" totalsRowDxfId="7">
      <calculatedColumnFormula>VLOOKUP(Avaluacio[[#This Row],[Codi ítem]],Metodologia[[Codi ítem]:[Fase]],COLUMN(Metodologia[[#Headers],[Fase]]),FALSE)</calculatedColumnFormula>
    </tableColumn>
    <tableColumn id="6" xr3:uid="{00000000-0010-0000-0000-000006000000}" name="Contingut" totalsRowFunction="custom" dataDxfId="263" totalsRowDxfId="6" dataCellStyle="Normal">
      <calculatedColumnFormula>IF(Avaluacio[[#This Row],[Avaluable]]="No","Exclòs",IF(VLOOKUP(Avaluacio[[#This Row],[Codi ítem]],Metodologia[],VLOOKUP('1_Plantejament'!$B$6,Taula1_TipusEns[],3,FALSE),FALSE)="No, però és recomanable","Opcional",IF(LEFT(VLOOKUP(Avaluacio[[#This Row],[Codi ítem]],Metodologia[[Codi ítem]:[Tipus ítem]],COLUMN(Metodologia[[#Headers],[Tipus ítem]]),FALSE),9)="Automàtic","Sí (confirmar)","")))</calculatedColumnFormula>
      <totalsRowFormula>COUNTIF(Avaluacio[Contingut],"Sí")</totalsRowFormula>
    </tableColumn>
    <tableColumn id="7" xr3:uid="{00000000-0010-0000-0000-000007000000}" name="Actualització" totalsRowFunction="custom" dataDxfId="262" totalsRowDxfId="5" dataCellStyle="Normal">
      <calculatedColumnFormula>IF(Avaluacio[[#This Row],[Avaluable]]="No","Exclòs",IF(Avaluacio[[#This Row],[Contingut]]="N/A","N/A",IF(VLOOKUP(Avaluacio[[#This Row],[Codi ítem]],Metodologia[],VLOOKUP('1_Plantejament'!$B$6,Taula1_TipusEns[],3,FALSE),FALSE)="No, però és recomanable","Opcional",IF(LEFT(VLOOKUP(Avaluacio[[#This Row],[Codi ítem]],Metodologia[[Codi ítem]:[Tipus ítem]],COLUMN(Metodologia[[#Headers],[Tipus ítem]]),FALSE),9)="Automàtic","Sí (confirmar)",""))))</calculatedColumnFormula>
      <totalsRowFormula>COUNTIF(Avaluacio[Actualització],"Sí")</totalsRowFormula>
    </tableColumn>
    <tableColumn id="9" xr3:uid="{00000000-0010-0000-0000-000009000000}" name="Observacions" dataDxfId="261" totalsRowDxfId="4" dataCellStyle="Normal"/>
    <tableColumn id="10" xr3:uid="{00000000-0010-0000-0000-00000A000000}" name="Grau de compliment" totalsRowFunction="custom" dataDxfId="260" totalsRowDxfId="3" dataCellStyle="Normal">
      <calculatedColumnFormula>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calculatedColumnFormula>
      <totalsRowFormula>COUNTIF(Avaluacio[Grau de compliment],"Compleix totalment")/Avaluacio[[#Totals],[Avaluable]]</totalsRowFormula>
    </tableColumn>
    <tableColumn id="11" xr3:uid="{00000000-0010-0000-0000-00000B000000}" name="% compliment" totalsRowFunction="average" dataDxfId="259" totalsRowDxfId="2">
      <calculatedColumnFormula>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calculatedColumnFormula>
    </tableColumn>
    <tableColumn id="12" xr3:uid="{00000000-0010-0000-0000-00000C000000}" name="Fitxa municat" dataDxfId="258">
      <calculatedColumnFormula>HYPERLINK(VLOOKUP(Avaluacio[[#This Row],[Codi ítem]],Metodologia[[#Headers],[#Data],[Codi ítem]:[Enllaç Municat]],COLUMN(Metodologia[[#Headers],[Enllaç Municat]]),FALSE),VLOOKUP(Avaluacio[[#This Row],[Codi ítem]],Metodologia[[#Headers],[#Data],[Codi ítem]:[Enllaç Municat]],COLUMN(Metodologia[[#Headers],[Enllaç Municat]]),FALSE))</calculatedColumnFormula>
    </tableColumn>
    <tableColumn id="14" xr3:uid="{00000000-0010-0000-0000-00000E000000}" name="Compliment ponderat" dataDxfId="257" totalsRowDxfId="1">
      <calculatedColumnFormula>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calculatedColumnFormula>
    </tableColumn>
    <tableColumn id="15" xr3:uid="{00000000-0010-0000-0000-00000F000000}" name="Codi bis" dataDxfId="256" totalsRowDxfId="0">
      <calculatedColumnFormula>Avaluacio[[#This Row],[Codi ítem]]</calculatedColumnFormula>
    </tableColumn>
  </tableColumns>
  <tableStyleInfo name="TableStyleMedium8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ula2_Fases" displayName="Taula2_Fases" ref="E1:G6" totalsRowShown="0">
  <autoFilter ref="E1:G6" xr:uid="{00000000-0009-0000-0100-000005000000}"/>
  <tableColumns count="3">
    <tableColumn id="1" xr3:uid="{00000000-0010-0000-0900-000001000000}" name="Fase d'avaluació"/>
    <tableColumn id="2" xr3:uid="{00000000-0010-0000-0900-000002000000}" name="Nivell" dataDxfId="51"/>
    <tableColumn id="3" xr3:uid="{00000000-0010-0000-0900-000003000000}" name="Acumulat" dataDxfId="50"/>
  </tableColumns>
  <tableStyleInfo name="TableStyleMedium8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ula4_ValorsAvaluacio" displayName="Taula4_ValorsAvaluacio" ref="K1:K4" totalsRowShown="0">
  <autoFilter ref="K1:K4" xr:uid="{00000000-0009-0000-0100-000009000000}"/>
  <tableColumns count="1">
    <tableColumn id="1" xr3:uid="{00000000-0010-0000-0A00-000001000000}" name="Valors avaluació"/>
  </tableColumns>
  <tableStyleInfo name="TableStyleMedium8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ula3_Avaluable" displayName="Taula3_Avaluable" ref="I1:I3" totalsRowShown="0">
  <autoFilter ref="I1:I3" xr:uid="{00000000-0009-0000-0100-00000B000000}"/>
  <tableColumns count="1">
    <tableColumn id="1" xr3:uid="{00000000-0010-0000-0B00-000001000000}" name="Avaluable"/>
  </tableColumns>
  <tableStyleInfo name="TableStyleMedium8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ResultatsSubfamilia" displayName="ResultatsSubfamilia" ref="A1:L21" totalsRowCount="1" headerRowDxfId="255" dataDxfId="254">
  <autoFilter ref="A1:L20" xr:uid="{00000000-0009-0000-0100-000006000000}"/>
  <tableColumns count="12">
    <tableColumn id="2" xr3:uid="{00000000-0010-0000-0100-000002000000}" name="Subfamília" dataDxfId="253">
      <calculatedColumnFormula array="1">INDEX(Avaluacio[Subfamília],(MATCH(0,INDEX(COUNTIF($A$1:A1,Avaluacio[Subfamília]),0,0)+INDEX(Avaluacio[Avaluable]="No",0,0),0)))</calculatedColumnFormula>
    </tableColumn>
    <tableColumn id="3" xr3:uid="{00000000-0010-0000-0100-000003000000}" name="Total ítems" totalsRowFunction="sum" dataDxfId="252" totalsRowDxfId="251">
      <calculatedColumnFormula>COUNTIF(Avaluacio[Subfamília],ResultatsSubfamilia[[#This Row],[Subfamília]])</calculatedColumnFormula>
    </tableColumn>
    <tableColumn id="4" xr3:uid="{00000000-0010-0000-0100-000004000000}" name="Ítems avaluats" totalsRowFunction="sum" dataDxfId="250" totalsRowDxfId="249">
      <calculatedColumnFormula>COUNTIFS(Avaluacio[Avaluable],"Sí",Avaluacio[Subfamília],ResultatsSubfamilia[[#This Row],[Subfamília]],Avaluacio[Grau de compliment],"&lt;&gt;No aplicable")</calculatedColumnFormula>
    </tableColumn>
    <tableColumn id="12" xr3:uid="{00000000-0010-0000-0100-00000C000000}" name="Contingut (ítems)" totalsRowFunction="sum" dataDxfId="248" totalsRowDxfId="247">
      <calculatedColumnFormula>COUNTIFS(Avaluacio[Avaluable],"Sí",Avaluacio[Subfamília],ResultatsSubfamilia[[#This Row],[Subfamília]],Avaluacio[Contingut],"Sí")</calculatedColumnFormula>
    </tableColumn>
    <tableColumn id="11" xr3:uid="{00000000-0010-0000-0100-00000B000000}" name="Actualització (ítems)" totalsRowFunction="sum" dataDxfId="246" totalsRowDxfId="245">
      <calculatedColumnFormula>COUNTIFS(Avaluacio[Avaluable],"Sí",Avaluacio[Subfamília],ResultatsSubfamilia[[#This Row],[Subfamília]],Avaluacio[Actualització],"Sí")</calculatedColumnFormula>
    </tableColumn>
    <tableColumn id="15" xr3:uid="{00000000-0010-0000-0100-00000F000000}" name="Contingut" totalsRowFunction="custom" dataDxfId="244" totalsRowDxfId="243">
      <calculatedColumnFormula>IFERROR(ResultatsSubfamilia[[#This Row],[Contingut (ítems)]]/(COUNTIFS(Avaluacio[Avaluable],"Sí",Avaluacio[Subfamília],ResultatsSubfamilia[[#This Row],[Subfamília]],Avaluacio[Contingut],"Sí")+COUNTIFS(Avaluacio[Avaluable],"Sí",Avaluacio[Subfamília],ResultatsSubfamilia[[#This Row],[Subfamília]],Avaluacio[Contingut],"No")),NA())</calculatedColumnFormula>
      <totalsRowFormula>IFERROR(ResultatsSubfamilia[[#Totals],[Contingut (ítems)]]/(COUNTIFS(Avaluacio[Avaluable],"Sí",Avaluacio[Contingut],"Sí")+COUNTIFS(Avaluacio[Avaluable],"Sí",Avaluacio[Contingut],"No")),NA())</totalsRowFormula>
    </tableColumn>
    <tableColumn id="14" xr3:uid="{00000000-0010-0000-0100-00000E000000}" name="Actualització" totalsRowFunction="custom" dataDxfId="242" totalsRowDxfId="241">
      <calculatedColumnFormula>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calculatedColumnFormula>
      <totalsRowFormula>IFERROR(ResultatsSubfamilia[[#Totals],[Actualització (ítems)]]/(COUNTIFS(Avaluacio[Avaluable],"Sí",Avaluacio[Actualització],"Sí")+COUNTIFS(Avaluacio[Avaluable],"Sí",Avaluacio[Actualització],"No")),NA())</totalsRowFormula>
    </tableColumn>
    <tableColumn id="5" xr3:uid="{00000000-0010-0000-0100-000005000000}" name="Compleix totalment" totalsRowFunction="custom" dataDxfId="240" totalsRowDxfId="239">
      <calculatedColumnFormula>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calculatedColumnFormula>
      <totalsRowFormula>IFERROR(SUBTOTAL(109,ResultatsSubfamilia[Compleix totalment]),NA())</totalsRowFormula>
    </tableColumn>
    <tableColumn id="6" xr3:uid="{00000000-0010-0000-0100-000006000000}" name="Compleix parcialment" totalsRowFunction="custom" dataDxfId="238" totalsRowDxfId="237">
      <calculatedColumnFormula>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calculatedColumnFormula>
      <totalsRowFormula>IFERROR(SUBTOTAL(109,ResultatsSubfamilia[Compleix parcialment]),NA())</totalsRowFormula>
    </tableColumn>
    <tableColumn id="7" xr3:uid="{00000000-0010-0000-0100-000007000000}" name="No compleix" totalsRowFunction="custom" dataDxfId="236" totalsRowDxfId="235">
      <calculatedColumnFormula>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calculatedColumnFormula>
      <totalsRowFormula>IFERROR(SUBTOTAL(109,ResultatsSubfamilia[No compleix]),NA())</totalsRowFormula>
    </tableColumn>
    <tableColumn id="8" xr3:uid="{00000000-0010-0000-0100-000008000000}" name="No aplicable" totalsRowFunction="custom" dataDxfId="234" totalsRowDxfId="233">
      <calculatedColumnFormula>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calculatedColumnFormula>
      <totalsRowFormula>IFERROR(SUBTOTAL(109,ResultatsSubfamilia[No aplicable]),NA())</totalsRowFormula>
    </tableColumn>
    <tableColumn id="9" xr3:uid="{00000000-0010-0000-0100-000009000000}" name="% compliment" totalsRowFunction="custom" dataDxfId="232" totalsRowDxfId="231">
      <calculatedColumnFormula>IFERROR(AVERAGEIFS(Avaluacio[% compliment],Avaluacio[Avaluable],"Sí",Avaluacio[Subfamília],ResultatsSubfamilia[[#This Row],[Subfamília]]),NA())</calculatedColumnFormula>
      <totalsRowFormula>IFERROR(AVERAGEIFS(Avaluacio[% compliment],Avaluacio[Avaluable],"Sí"),NA())</totalsRowFormula>
    </tableColumn>
  </tableColumns>
  <tableStyleInfo name="TableStyleMedium8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2000000}" name="ResultatsFamilia" displayName="ResultatsFamilia" ref="A23:L30" totalsRowCount="1">
  <autoFilter ref="A23:L29" xr:uid="{00000000-0009-0000-0100-00000A000000}"/>
  <tableColumns count="12">
    <tableColumn id="1" xr3:uid="{00000000-0010-0000-0200-000001000000}" name="Família" totalsRowLabel="Total" dataDxfId="230">
      <calculatedColumnFormula array="1">INDEX(Avaluacio[Família],(MATCH(0,INDEX(COUNTIF($A$23:A23,Avaluacio[Família]),0,0)+INDEX(Avaluacio[Avaluable]="No",0,0),0)))</calculatedColumnFormula>
    </tableColumn>
    <tableColumn id="2" xr3:uid="{00000000-0010-0000-0200-000002000000}" name="Total ítems" totalsRowFunction="sum" dataDxfId="229" totalsRowDxfId="228">
      <calculatedColumnFormula>COUNTIF(Avaluacio[Família],ResultatsFamilia[[#This Row],[Família]])</calculatedColumnFormula>
    </tableColumn>
    <tableColumn id="3" xr3:uid="{00000000-0010-0000-0200-000003000000}" name="Ítems avaluats" totalsRowFunction="sum" dataDxfId="227" totalsRowDxfId="226">
      <calculatedColumnFormula>COUNTIFS(Avaluacio[Avaluable],"Sí",Avaluacio[Família],ResultatsFamilia[[#This Row],[Família]],Avaluacio[Grau de compliment],"&lt;&gt;No aplicable")</calculatedColumnFormula>
    </tableColumn>
    <tableColumn id="4" xr3:uid="{00000000-0010-0000-0200-000004000000}" name="Contingut (ítems)" totalsRowFunction="sum" dataDxfId="225" totalsRowDxfId="224">
      <calculatedColumnFormula>COUNTIFS(Avaluacio[Avaluable],"Sí",Avaluacio[Família],ResultatsFamilia[[#This Row],[Família]],Avaluacio[Contingut],"Sí")</calculatedColumnFormula>
    </tableColumn>
    <tableColumn id="5" xr3:uid="{00000000-0010-0000-0200-000005000000}" name="Actualització (ítems)" totalsRowFunction="sum" dataDxfId="223" totalsRowDxfId="222">
      <calculatedColumnFormula>COUNTIFS(Avaluacio[Avaluable],"Sí",Avaluacio[Família],ResultatsFamilia[[#This Row],[Família]],Avaluacio[Actualització],"Sí")</calculatedColumnFormula>
    </tableColumn>
    <tableColumn id="14" xr3:uid="{00000000-0010-0000-0200-00000E000000}" name="Contingut" totalsRowFunction="custom" dataDxfId="221" totalsRowDxfId="220">
      <calculatedColumnFormula>IFERROR(ResultatsFamilia[[#This Row],[Contingut (ítems)]]/(COUNTIFS(Avaluacio[Avaluable],"Sí",Avaluacio[Família],ResultatsFamilia[[#This Row],[Família]],Avaluacio[Contingut],"Sí")+COUNTIFS(Avaluacio[Avaluable],"Sí",Avaluacio[Família],ResultatsFamilia[[#This Row],[Família]],Avaluacio[Contingut],"No")),NA())</calculatedColumnFormula>
      <totalsRowFormula>IFERROR(ResultatsFamilia[[#Totals],[Contingut (ítems)]]/(COUNTIFS(Avaluacio[Avaluable],"Sí",Avaluacio[Contingut],"Sí")+COUNTIFS(Avaluacio[Avaluable],"Sí",Avaluacio[Contingut],"No")),NA())</totalsRowFormula>
    </tableColumn>
    <tableColumn id="13" xr3:uid="{00000000-0010-0000-0200-00000D000000}" name="Actualització" totalsRowFunction="custom" dataDxfId="219" totalsRowDxfId="218">
      <calculatedColumnFormula>IFERROR(ResultatsFamilia[[#This Row],[Actualització (ítems)]]/(COUNTIFS(Avaluacio[Avaluable],"Sí",Avaluacio[Família],ResultatsFamilia[[#This Row],[Família]],Avaluacio[Actualització],"Sí")+COUNTIFS(Avaluacio[Avaluable],"Sí",Avaluacio[Família],ResultatsFamilia[[#This Row],[Família]],Avaluacio[Actualització],"No")),NA())</calculatedColumnFormula>
      <totalsRowFormula>IFERROR(ResultatsFamilia[[#Totals],[Actualització (ítems)]]/(COUNTIFS(Avaluacio[Avaluable],"Sí",Avaluacio[Actualització],"Sí")+COUNTIFS(Avaluacio[Avaluable],"Sí",Avaluacio[Actualització],"No")),NA())</totalsRowFormula>
    </tableColumn>
    <tableColumn id="7" xr3:uid="{00000000-0010-0000-0200-000007000000}" name="Compleix totalment" totalsRowFunction="custom" dataDxfId="217" totalsRowDxfId="216">
      <calculatedColumnFormula>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calculatedColumnFormula>
      <totalsRowFormula>IFERROR(SUBTOTAL(109,ResultatsFamilia[Compleix totalment]),NA())</totalsRowFormula>
    </tableColumn>
    <tableColumn id="8" xr3:uid="{00000000-0010-0000-0200-000008000000}" name="Compleix parcialment" totalsRowFunction="custom" dataDxfId="215" totalsRowDxfId="214">
      <calculatedColumnFormula>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calculatedColumnFormula>
      <totalsRowFormula>IFERROR(SUBTOTAL(109,ResultatsFamilia[Compleix totalment]),NA())</totalsRowFormula>
    </tableColumn>
    <tableColumn id="9" xr3:uid="{00000000-0010-0000-0200-000009000000}" name="No compleix" totalsRowFunction="custom" dataDxfId="213" totalsRowDxfId="212">
      <calculatedColumnFormula>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calculatedColumnFormula>
      <totalsRowFormula>IFERROR(SUBTOTAL(109,ResultatsFamilia[No compleix]),NA())</totalsRowFormula>
    </tableColumn>
    <tableColumn id="10" xr3:uid="{00000000-0010-0000-0200-00000A000000}" name="No aplicable" totalsRowFunction="custom" dataDxfId="211" totalsRowDxfId="210">
      <calculatedColumnFormula>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calculatedColumnFormula>
      <totalsRowFormula>IFERROR(SUBTOTAL(109,ResultatsFamilia[No aplicable]),NA())</totalsRowFormula>
    </tableColumn>
    <tableColumn id="11" xr3:uid="{00000000-0010-0000-0200-00000B000000}" name="% compliment" totalsRowFunction="custom" dataDxfId="209" totalsRowDxfId="208">
      <calculatedColumnFormula>IFERROR(AVERAGEIFS(Avaluacio[% compliment],Avaluacio[Avaluable],"Sí",Avaluacio[Família],ResultatsFamilia[[#This Row],[Família]]),NA())</calculatedColumnFormula>
      <totalsRowFormula>IFERROR(AVERAGEIFS(Avaluacio[% compliment],Avaluacio[Avaluable],"Sí"),NA())</totalsRowFormula>
    </tableColumn>
  </tableColumns>
  <tableStyleInfo name="TableStyleMedium8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ResultatsTotals" displayName="ResultatsTotals" ref="A40:L43" totalsRowCount="1" headerRowDxfId="207" dataDxfId="206">
  <autoFilter ref="A40:L42" xr:uid="{00000000-0009-0000-0100-00000C000000}"/>
  <tableColumns count="12">
    <tableColumn id="1" xr3:uid="{00000000-0010-0000-0300-000001000000}" name="Totals" totalsRowLabel="Total" dataDxfId="205"/>
    <tableColumn id="2" xr3:uid="{00000000-0010-0000-0300-000002000000}" name="Total ítems" totalsRowFunction="custom" dataDxfId="204" totalsRowDxfId="203">
      <calculatedColumnFormula>COUNTA(Avaluacio[Família])</calculatedColumnFormula>
      <totalsRowFormula>B41/SUM(ResultatsTotals[Total ítems])</totalsRowFormula>
    </tableColumn>
    <tableColumn id="3" xr3:uid="{00000000-0010-0000-0300-000003000000}" name="Ítems avaluats" totalsRowFunction="custom" dataDxfId="202" totalsRowDxfId="201">
      <calculatedColumnFormula>COUNTIFS(Avaluacio[Avaluable],"Sí",Avaluacio[Grau de compliment],"&lt;&gt;No aplicable")</calculatedColumnFormula>
      <totalsRowFormula>IFERROR(C41/SUM(ResultatsTotals[Ítems avaluats]),NA())</totalsRowFormula>
    </tableColumn>
    <tableColumn id="4" xr3:uid="{00000000-0010-0000-0300-000004000000}" name="Contingut (ítems)" totalsRowFunction="sum" dataDxfId="200" totalsRowDxfId="199">
      <calculatedColumnFormula>COUNTIFS(Avaluacio[Avaluable],"Sí",Avaluacio[Contingut],"Sí")</calculatedColumnFormula>
    </tableColumn>
    <tableColumn id="5" xr3:uid="{00000000-0010-0000-0300-000005000000}" name="Actualització (ítems)" totalsRowFunction="sum" dataDxfId="198" totalsRowDxfId="197">
      <calculatedColumnFormula>COUNTIFS(Avaluacio[Avaluable],"Sí",Avaluacio[Actualització],"Sí")</calculatedColumnFormula>
    </tableColumn>
    <tableColumn id="14" xr3:uid="{00000000-0010-0000-0300-00000E000000}" name="Contingut" totalsRowFunction="custom" dataDxfId="196" totalsRowDxfId="195">
      <calculatedColumnFormula>ResultatsTotals[[#This Row],[Contingut (ítems)]]/(COUNTIFS(Avaluacio[Avaluable],"Sí",Avaluacio[Contingut],"Sí")+COUNTIFS(Avaluacio[Avaluable],"Sí",Avaluacio[Contingut],"No"))</calculatedColumnFormula>
      <totalsRowFormula>IFERROR(SUBTOTAL(109,ResultatsTotals[Contingut]),NA())</totalsRowFormula>
    </tableColumn>
    <tableColumn id="13" xr3:uid="{00000000-0010-0000-0300-00000D000000}" name="Actualització" totalsRowFunction="custom" dataDxfId="194" totalsRowDxfId="193">
      <calculatedColumnFormula>ResultatsTotals[[#This Row],[Actualització (ítems)]]/(COUNTIFS(Avaluacio[Avaluable],"Sí",Avaluacio[Actualització],"Sí")+COUNTIFS(Avaluacio[Avaluable],"Sí",Avaluacio[Actualització],"No"))</calculatedColumnFormula>
      <totalsRowFormula>IFERROR(SUBTOTAL(109,ResultatsTotals[Actualització]),NA())</totalsRowFormula>
    </tableColumn>
    <tableColumn id="7" xr3:uid="{00000000-0010-0000-0300-000007000000}" name="Compleix totalment" totalsRowFunction="sum" totalsRowDxfId="192">
      <calculatedColumnFormula>COUNTIFS(Avaluacio[Avaluable],"Sí",Avaluacio[Grau de compliment],"&lt;&gt;Compleix totalment")</calculatedColumnFormula>
    </tableColumn>
    <tableColumn id="8" xr3:uid="{00000000-0010-0000-0300-000008000000}" name="Compleix parcialment" totalsRowFunction="sum" totalsRowDxfId="191">
      <calculatedColumnFormula>COUNTIFS(Avaluacio[Avaluable],"Sí",Avaluacio[Grau de compliment],"Compleix parcialment")</calculatedColumnFormula>
    </tableColumn>
    <tableColumn id="9" xr3:uid="{00000000-0010-0000-0300-000009000000}" name="No compleix" totalsRowFunction="sum" totalsRowDxfId="190">
      <calculatedColumnFormula>COUNTIFS(Avaluacio[Avaluable],"Sí",Avaluacio[Grau de compliment],"No compleix")</calculatedColumnFormula>
    </tableColumn>
    <tableColumn id="10" xr3:uid="{00000000-0010-0000-0300-00000A000000}" name="No aplicable" totalsRowFunction="sum" totalsRowDxfId="189">
      <calculatedColumnFormula>COUNTIFS(Avaluacio[Avaluable],"Sí",Avaluacio[Grau de compliment],"No aplicable")</calculatedColumnFormula>
    </tableColumn>
    <tableColumn id="11" xr3:uid="{00000000-0010-0000-0300-00000B000000}" name="% compliment" totalsRowFunction="custom" dataDxfId="188" totalsRowDxfId="187">
      <calculatedColumnFormula>IFERROR(AVERAGEIFS(Avaluacio[% compliment],Avaluacio[Avaluable],"Sí"),"")</calculatedColumnFormula>
      <totalsRowFormula>IFERROR(SUBTOTAL(109,ResultatsTotals[% compliment]),NA())</totalsRowFormula>
    </tableColumn>
  </tableColumns>
  <tableStyleInfo name="TableStyleMedium8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ResultatsFase" displayName="ResultatsFase" ref="A32:L38" totalsRowCount="1" headerRowDxfId="186" dataDxfId="185">
  <autoFilter ref="A32:L37" xr:uid="{00000000-0009-0000-0100-000007000000}"/>
  <tableColumns count="12">
    <tableColumn id="1" xr3:uid="{00000000-0010-0000-0400-000001000000}" name="Fase d'avaluació" totalsRowLabel="Total" dataDxfId="184">
      <calculatedColumnFormula>IF(RIGHT('1_Plantejament'!B7,1)&lt;=1,"Fase 1","")</calculatedColumnFormula>
    </tableColumn>
    <tableColumn id="2" xr3:uid="{00000000-0010-0000-0400-000002000000}" name="Total ítems" totalsRowFunction="sum" dataDxfId="183" totalsRowDxfId="182">
      <calculatedColumnFormula>COUNTIF(Avaluacio[Fase],"Fase 1")</calculatedColumnFormula>
    </tableColumn>
    <tableColumn id="3" xr3:uid="{00000000-0010-0000-0400-000003000000}" name="Ítems avaluats" totalsRowFunction="sum" dataDxfId="181" totalsRowDxfId="180">
      <calculatedColumnFormula>COUNTIFS(Avaluacio[Avaluable],"Sí",Avaluacio[Fase],ResultatsFase[[#This Row],[Fase d''avaluació]],Avaluacio[Grau de compliment],"&lt;&gt;No aplicable")</calculatedColumnFormula>
    </tableColumn>
    <tableColumn id="4" xr3:uid="{00000000-0010-0000-0400-000004000000}" name="Contingut (ítems)" totalsRowFunction="sum" dataDxfId="179" totalsRowDxfId="178">
      <calculatedColumnFormula>COUNTIFS(Avaluacio[Avaluable],"Sí",Avaluacio[Fase],ResultatsFase[[#This Row],[Fase d''avaluació]],Avaluacio[Contingut],"Sí")</calculatedColumnFormula>
    </tableColumn>
    <tableColumn id="5" xr3:uid="{00000000-0010-0000-0400-000005000000}" name="Actualització (ítems)" totalsRowFunction="sum" dataDxfId="177" totalsRowDxfId="176">
      <calculatedColumnFormula>COUNTIFS(Avaluacio[Avaluable],"Sí",Avaluacio[Fase],ResultatsFase[[#This Row],[Fase d''avaluació]],Avaluacio[Actualització],"Sí")</calculatedColumnFormula>
    </tableColumn>
    <tableColumn id="14" xr3:uid="{00000000-0010-0000-0400-00000E000000}" name="Contingut" totalsRowFunction="custom" dataDxfId="175" totalsRowDxfId="174">
      <calculatedColumnFormula>IFERROR(ResultatsFase[[#This Row],[Contingut (ítems)]]/(COUNTIFS(Avaluacio[Avaluable],"Sí",Avaluacio[Fase],ResultatsFase[[#This Row],[Fase d''avaluació]],Avaluacio[Contingut],"Sí")+COUNTIFS(Avaluacio[Avaluable],"Sí",Avaluacio[Fase],ResultatsFase[[#This Row],[Fase d''avaluació]],Avaluacio[Contingut],"No")),NA())</calculatedColumnFormula>
      <totalsRowFormula>IFERROR(ResultatsFase[[#Totals],[Contingut (ítems)]]/(COUNTIFS(Avaluacio[Avaluable],"Sí",Avaluacio[Contingut],"Sí")+COUNTIFS(Avaluacio[Avaluable],"Sí",Avaluacio[Contingut],"No")),NA())</totalsRowFormula>
    </tableColumn>
    <tableColumn id="13" xr3:uid="{00000000-0010-0000-0400-00000D000000}" name="Actualització" totalsRowFunction="custom" dataDxfId="173" totalsRowDxfId="172">
      <calculatedColumnFormula>IFERROR(ResultatsFase[[#This Row],[Actualització (ítems)]]/(COUNTIFS(Avaluacio[Avaluable],"Sí",Avaluacio[Fase],ResultatsFase[[#This Row],[Fase d''avaluació]],Avaluacio[Actualització],"Sí")+COUNTIFS(Avaluacio[Avaluable],"Sí",Avaluacio[Fase],ResultatsFase[[#This Row],[Fase d''avaluació]],Avaluacio[Actualització],"No")),NA())</calculatedColumnFormula>
      <totalsRowFormula>IFERROR(ResultatsFase[[#Totals],[Actualització (ítems)]]/(COUNTIFS(Avaluacio[Avaluable],"Sí",Avaluacio[Actualització],"Sí")+COUNTIFS(Avaluacio[Avaluable],"Sí",Avaluacio[Actualització],"No")),NA())</totalsRowFormula>
    </tableColumn>
    <tableColumn id="7" xr3:uid="{00000000-0010-0000-0400-000007000000}" name="Compleix totalment" totalsRowFunction="custom" dataDxfId="171" totalsRowDxfId="170">
      <calculatedColumnFormula>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calculatedColumnFormula>
      <totalsRowFormula>IFERROR(SUBTOTAL(109,ResultatsFase[Compleix totalment]),NA())</totalsRowFormula>
    </tableColumn>
    <tableColumn id="8" xr3:uid="{00000000-0010-0000-0400-000008000000}" name="Compleix parcialment" totalsRowFunction="custom" dataDxfId="169" totalsRowDxfId="168">
      <calculatedColumnFormula>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calculatedColumnFormula>
      <totalsRowFormula>IFERROR(SUBTOTAL(109,ResultatsFase[Compleix parcialment]),NA())</totalsRowFormula>
    </tableColumn>
    <tableColumn id="9" xr3:uid="{00000000-0010-0000-0400-000009000000}" name="No compleix" totalsRowFunction="custom" dataDxfId="167" totalsRowDxfId="166">
      <calculatedColumnFormula>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calculatedColumnFormula>
      <totalsRowFormula>IFERROR(SUBTOTAL(109,ResultatsFase[No compleix]),NA())</totalsRowFormula>
    </tableColumn>
    <tableColumn id="10" xr3:uid="{00000000-0010-0000-0400-00000A000000}" name="No aplicable" totalsRowFunction="custom" dataDxfId="165" totalsRowDxfId="164">
      <calculatedColumnFormula>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calculatedColumnFormula>
      <totalsRowFormula>IFERROR(SUBTOTAL(109,ResultatsFase[No aplicable]),NA())</totalsRowFormula>
    </tableColumn>
    <tableColumn id="11" xr3:uid="{00000000-0010-0000-0400-00000B000000}" name="% compliment" totalsRowFunction="custom" dataDxfId="163" totalsRowDxfId="162">
      <calculatedColumnFormula>IFERROR(AVERAGEIFS(Avaluacio[% compliment],Avaluacio[Avaluable],"Sí",Avaluacio[Fase],ResultatsFase[[#This Row],[Fase d''avaluació]]),NA())</calculatedColumnFormula>
      <totalsRowFormula>IFERROR(AVERAGEIFS(Avaluacio[% compliment],Avaluacio[Avaluable],"Sí"),NA())</totalsRowFormula>
    </tableColumn>
  </tableColumns>
  <tableStyleInfo name="TableStyleMedium8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DadesObertes" displayName="DadesObertes" ref="A1:M148" totalsRowShown="0" headerRowDxfId="161">
  <autoFilter ref="A1:M148" xr:uid="{00000000-0009-0000-0100-000003000000}"/>
  <tableColumns count="13">
    <tableColumn id="1" xr3:uid="{00000000-0010-0000-0500-000001000000}" name="Ens" dataDxfId="160">
      <calculatedColumnFormula array="1">IFERROR(IF(VLOOKUP($E2,Avaluacio[],COLUMN(Avaluacio[Codi ítem]),FALSE)=$E2,'1_Plantejament'!$B$5,""),"")</calculatedColumnFormula>
    </tableColumn>
    <tableColumn id="2" xr3:uid="{00000000-0010-0000-0500-000002000000}" name="Any de l’avaluació" dataDxfId="159">
      <calculatedColumnFormula array="1">IFERROR(IF(VLOOKUP($E2,Avaluacio[],COLUMN(Avaluacio[Codi ítem]),FALSE)=$E2,'1_Plantejament'!$B$9,""),"")</calculatedColumnFormula>
    </tableColumn>
    <tableColumn id="3" xr3:uid="{00000000-0010-0000-0500-000003000000}" name="Data" dataDxfId="158">
      <calculatedColumnFormula array="1">IFERROR(IF(VLOOKUP($E2,Avaluacio[],COLUMN(Avaluacio[Codi ítem]),FALSE)=$E2,'1_Plantejament'!$B$10,""),"")</calculatedColumnFormula>
    </tableColumn>
    <tableColumn id="4" xr3:uid="{00000000-0010-0000-0500-000004000000}" name="Fase d'avaluació" dataDxfId="157">
      <calculatedColumnFormula array="1">IFERROR(IF(VLOOKUP($E2,Avaluacio[],COLUMN(Avaluacio[Codi ítem]),FALSE)=$E2,'1_Plantejament'!$B$7,""),"")</calculatedColumnFormula>
    </tableColumn>
    <tableColumn id="5" xr3:uid="{00000000-0010-0000-0500-000005000000}" name="Codi ítem" dataDxfId="156">
      <calculatedColumnFormula array="1">IFERROR(INDEX(Avaluacio[Codi ítem],(MATCH(0,INDEX(COUNTIF(E$1:E1,Avaluacio[Codi ítem]),0,0)+INDEX(Avaluacio[Avaluable]="No",0,0),0))),"")</calculatedColumnFormula>
    </tableColumn>
    <tableColumn id="6" xr3:uid="{00000000-0010-0000-0500-000006000000}" name="Ítem" dataDxfId="155">
      <calculatedColumnFormula array="1">IFERROR(VLOOKUP(E2,Avaluacio[],COLUMN(Avaluacio[Ítem]),FALSE),"")</calculatedColumnFormula>
    </tableColumn>
    <tableColumn id="7" xr3:uid="{00000000-0010-0000-0500-000007000000}" name="Família" dataDxfId="154">
      <calculatedColumnFormula array="1">IFERROR(VLOOKUP(E2,Avaluacio[],COLUMN(Avaluacio[Família]),FALSE),"")</calculatedColumnFormula>
    </tableColumn>
    <tableColumn id="8" xr3:uid="{00000000-0010-0000-0500-000008000000}" name="Subfamília" dataDxfId="153">
      <calculatedColumnFormula array="1">IFERROR(VLOOKUP(E2,Avaluacio[],COLUMN(Avaluacio[Subfamília]),FALSE),"")</calculatedColumnFormula>
    </tableColumn>
    <tableColumn id="9" xr3:uid="{00000000-0010-0000-0500-000009000000}" name="Contingut" dataDxfId="152">
      <calculatedColumnFormula array="1">IFERROR(VLOOKUP(E2,Avaluacio[],COLUMN(Avaluacio[Contingut]),FALSE),"")</calculatedColumnFormula>
    </tableColumn>
    <tableColumn id="10" xr3:uid="{00000000-0010-0000-0500-00000A000000}" name="Actualització" dataDxfId="151">
      <calculatedColumnFormula array="1">IFERROR(VLOOKUP(E2,Avaluacio[],COLUMN(Avaluacio[Actualització]),FALSE),"")</calculatedColumnFormula>
    </tableColumn>
    <tableColumn id="11" xr3:uid="{00000000-0010-0000-0500-00000B000000}" name="Reutilització" dataDxfId="150">
      <calculatedColumnFormula array="1">IFERROR(VLOOKUP(E2,Avaluacio[],COLUMN(#REF!),FALSE),"")</calculatedColumnFormula>
    </tableColumn>
    <tableColumn id="12" xr3:uid="{00000000-0010-0000-0500-00000C000000}" name="Grau de compliment" dataDxfId="149">
      <calculatedColumnFormula array="1">IFERROR(VLOOKUP(E2,Avaluacio[],COLUMN(Avaluacio[Grau de compliment]),FALSE),"")</calculatedColumnFormula>
    </tableColumn>
    <tableColumn id="13" xr3:uid="{00000000-0010-0000-0500-00000D000000}" name="% compliment" dataDxfId="148">
      <calculatedColumnFormula array="1">IFERROR(VLOOKUP(E2,Avaluacio[],COLUMN(Avaluacio[% compliment]),FALSE),"")</calculatedColumnFormula>
    </tableColumn>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Metodologia" displayName="Metodologia" ref="A1:AH149" tableType="queryTable" totalsRowCount="1" headerRowDxfId="147" dataDxfId="146" totalsRowDxfId="145">
  <autoFilter ref="A1:AH148" xr:uid="{00000000-0009-0000-0100-000004000000}"/>
  <tableColumns count="34">
    <tableColumn id="1" xr3:uid="{00000000-0010-0000-0600-000001000000}" uniqueName="1" name="Codi ítem" queryTableFieldId="1" dataDxfId="144" totalsRowDxfId="143"/>
    <tableColumn id="33" xr3:uid="{00000000-0010-0000-0600-000021000000}" uniqueName="33" name="Fase" queryTableFieldId="51" dataDxfId="142" totalsRowDxfId="141"/>
    <tableColumn id="2" xr3:uid="{00000000-0010-0000-0600-000002000000}" uniqueName="2" name="Família" queryTableFieldId="2" dataDxfId="140" totalsRowDxfId="139"/>
    <tableColumn id="3" xr3:uid="{00000000-0010-0000-0600-000003000000}" uniqueName="3" name="Subfamília" queryTableFieldId="3" dataDxfId="138" totalsRowDxfId="137"/>
    <tableColumn id="4" xr3:uid="{00000000-0010-0000-0600-000004000000}" uniqueName="4" name="Ítem" queryTableFieldId="4" dataDxfId="136" totalsRowDxfId="135"/>
    <tableColumn id="5" xr3:uid="{00000000-0010-0000-0600-000005000000}" uniqueName="5" name="Codi Municat" queryTableFieldId="5" dataDxfId="134" totalsRowDxfId="133"/>
    <tableColumn id="6" xr3:uid="{00000000-0010-0000-0600-000006000000}" uniqueName="6" name="Tipus ítem" queryTableFieldId="6" dataDxfId="132" totalsRowDxfId="131"/>
    <tableColumn id="59" xr3:uid="{00000000-0010-0000-0600-00003B000000}" uniqueName="59" name="A qui afecta?" queryTableFieldId="73" dataDxfId="130" totalsRowDxfId="129"/>
    <tableColumn id="61" xr3:uid="{00000000-0010-0000-0600-00003D000000}" uniqueName="61" name="Prioritat" queryTableFieldId="75" dataDxfId="128" totalsRowDxfId="127">
      <calculatedColumnFormula>(Metodologia[[#This Row],[Visites]]*0.15)/MAX(Metodologia[Visites])</calculatedColumnFormula>
    </tableColumn>
    <tableColumn id="22" xr3:uid="{00000000-0010-0000-0600-000016000000}" uniqueName="22" name="Obligació de la LT de publicitar obligacions legals?" queryTableFieldId="22" dataDxfId="126" totalsRowDxfId="125"/>
    <tableColumn id="28" xr3:uid="{00000000-0010-0000-0600-00001C000000}" uniqueName="28" name="Obligació LTC i reglament" queryTableFieldId="30" dataDxfId="124" totalsRowDxfId="123"/>
    <tableColumn id="31" xr3:uid="{00000000-0010-0000-0600-00001F000000}" uniqueName="31" name="Obligació normativa sectorial" queryTableFieldId="33" dataDxfId="122" totalsRowDxfId="121"/>
    <tableColumn id="27" xr3:uid="{00000000-0010-0000-0600-00001B000000}" uniqueName="27" name="Equivalència avaluació Síndic" queryTableFieldId="29" dataDxfId="120" totalsRowDxfId="119"/>
    <tableColumn id="43" xr3:uid="{00000000-0010-0000-0600-00002B000000}" uniqueName="43" name="Revisió/actualització" queryTableFieldId="48" dataDxfId="118" totalsRowDxfId="117"/>
    <tableColumn id="8" xr3:uid="{00000000-0010-0000-0600-000008000000}" uniqueName="8" name="Visites" queryTableFieldId="79" dataDxfId="116" totalsRowDxfId="115"/>
    <tableColumn id="7" xr3:uid="{00000000-0010-0000-0600-000007000000}" uniqueName="7" name="Informació complementària" queryTableFieldId="78" dataDxfId="114" totalsRowDxfId="113"/>
    <tableColumn id="10" xr3:uid="{00000000-0010-0000-0600-00000A000000}" uniqueName="10" name="Freqüència actualització requerida" queryTableFieldId="10" dataDxfId="112" totalsRowDxfId="111"/>
    <tableColumn id="11" xr3:uid="{00000000-0010-0000-0600-00000B000000}" uniqueName="11" name="Llei 19/2014 CAT" queryTableFieldId="11" dataDxfId="110" totalsRowDxfId="109"/>
    <tableColumn id="12" xr3:uid="{00000000-0010-0000-0600-00000C000000}" uniqueName="12" name="Llei 19/2013 ESP" queryTableFieldId="12" dataDxfId="108" totalsRowDxfId="107"/>
    <tableColumn id="13" xr3:uid="{00000000-0010-0000-0600-00000D000000}" uniqueName="13" name="Decret 8/2021" queryTableFieldId="13" dataDxfId="106" totalsRowDxfId="105"/>
    <tableColumn id="14" xr3:uid="{00000000-0010-0000-0600-00000E000000}" uniqueName="14" name="Observacions a la normativa" queryTableFieldId="14" dataDxfId="104" totalsRowDxfId="103"/>
    <tableColumn id="19" xr3:uid="{00000000-0010-0000-0600-000013000000}" uniqueName="19" name="Enllaç Municat" queryTableFieldId="19" dataDxfId="102" totalsRowDxfId="101"/>
    <tableColumn id="55" xr3:uid="{00000000-0010-0000-0600-000037000000}" uniqueName="55" name="Aplica Ens Local" queryTableFieldId="69" dataDxfId="100" totalsRowDxfId="99"/>
    <tableColumn id="34" xr3:uid="{00000000-0010-0000-0600-000022000000}" uniqueName="34" name="Aplica OAL" queryTableFieldId="67" dataDxfId="98" totalsRowDxfId="97"/>
    <tableColumn id="42" xr3:uid="{00000000-0010-0000-0600-00002A000000}" uniqueName="42" name="Aplica EPEL" queryTableFieldId="66" dataDxfId="96" totalsRowDxfId="95"/>
    <tableColumn id="45" xr3:uid="{00000000-0010-0000-0600-00002D000000}" uniqueName="45" name="Aplica SOC100%" queryTableFieldId="65" dataDxfId="94" totalsRowDxfId="93"/>
    <tableColumn id="46" xr3:uid="{00000000-0010-0000-0600-00002E000000}" uniqueName="46" name="Aplica SOCMIX" queryTableFieldId="64" dataDxfId="92" totalsRowDxfId="91"/>
    <tableColumn id="47" xr3:uid="{00000000-0010-0000-0600-00002F000000}" uniqueName="47" name="Aplica CONS" queryTableFieldId="63" dataDxfId="90" totalsRowDxfId="89"/>
    <tableColumn id="48" xr3:uid="{00000000-0010-0000-0600-000030000000}" uniqueName="48" name="Aplica FUND" queryTableFieldId="62" dataDxfId="88" totalsRowDxfId="87"/>
    <tableColumn id="49" xr3:uid="{00000000-0010-0000-0600-000031000000}" uniqueName="49" name="Aplica MANC" queryTableFieldId="61" dataDxfId="86" totalsRowDxfId="85"/>
    <tableColumn id="58" xr3:uid="{00000000-0010-0000-0600-00003A000000}" uniqueName="58" name="Exemples Compleix Totalment" queryTableFieldId="72" dataDxfId="84" totalsRowDxfId="83"/>
    <tableColumn id="51" xr3:uid="{00000000-0010-0000-0600-000033000000}" uniqueName="51" name="Exemples Compleix Parcialment" queryTableFieldId="59" dataDxfId="82" totalsRowDxfId="81"/>
    <tableColumn id="52" xr3:uid="{00000000-0010-0000-0600-000034000000}" uniqueName="52" name="Exemples No Compleix" queryTableFieldId="58" dataDxfId="80" totalsRowDxfId="79"/>
    <tableColumn id="53" xr3:uid="{00000000-0010-0000-0600-000035000000}" uniqueName="53" name="Criteris No aplica" queryTableFieldId="57" dataDxfId="78" totalsRowDxfId="77"/>
  </tableColumns>
  <tableStyleInfo name="TableStyleMedium8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Fases" displayName="Fases" ref="A1:K7" totalsRowCount="1" headerRowDxfId="76" dataDxfId="75">
  <autoFilter ref="A1:K6" xr:uid="{00000000-0009-0000-0100-000002000000}"/>
  <tableColumns count="11">
    <tableColumn id="1" xr3:uid="{00000000-0010-0000-0700-000001000000}" name="Fases" totalsRowLabel="Total" dataDxfId="74" totalsRowDxfId="73"/>
    <tableColumn id="2" xr3:uid="{00000000-0010-0000-0700-000002000000}" name="Criteri de selecció" dataDxfId="72" totalsRowDxfId="71"/>
    <tableColumn id="3" xr3:uid="{00000000-0010-0000-0700-000003000000}" name="Total" totalsRowFunction="sum" dataDxfId="70" totalsRowDxfId="69">
      <calculatedColumnFormula>COUNTIF(Metodologia[Fase],Fases[[#This Row],[Fases]])</calculatedColumnFormula>
    </tableColumn>
    <tableColumn id="4" xr3:uid="{00000000-0010-0000-0700-000004000000}" name="Aplica Ens Local" totalsRowFunction="sum" dataDxfId="68" totalsRowDxfId="67">
      <calculatedColumnFormula>COUNTIFS(Metodologia[Fase],Fases[[#This Row],[Fases]],Metodologia[Aplica Ens Local],"Sí")</calculatedColumnFormula>
    </tableColumn>
    <tableColumn id="5" xr3:uid="{00000000-0010-0000-0700-000005000000}" name="Aplica OAL" totalsRowFunction="sum" dataDxfId="66" totalsRowDxfId="65">
      <calculatedColumnFormula>COUNTIFS(Metodologia[Fase],Fases[[#This Row],[Fases]],Metodologia[Aplica OAL],"Sí")+COUNTIFS(Metodologia[Fase],Fases[[#This Row],[Fases]],Metodologia[Aplica OAL],"No, pero és recomanable")</calculatedColumnFormula>
    </tableColumn>
    <tableColumn id="6" xr3:uid="{00000000-0010-0000-0700-000006000000}" name="Aplica EPEL" totalsRowFunction="sum" dataDxfId="64" totalsRowDxfId="63">
      <calculatedColumnFormula>COUNTIFS(Metodologia[Fase],Fases[[#This Row],[Fases]],Metodologia[Aplica EPEL],"Sí")+COUNTIFS(Metodologia[Fase],Fases[[#This Row],[Fases]],Metodologia[Aplica EPEL],"No, pero és recomanable")</calculatedColumnFormula>
    </tableColumn>
    <tableColumn id="7" xr3:uid="{00000000-0010-0000-0700-000007000000}" name="Aplica SOC100%" totalsRowFunction="sum" dataDxfId="62" totalsRowDxfId="61">
      <calculatedColumnFormula>COUNTIFS(Metodologia[Fase],Fases[[#This Row],[Fases]],Metodologia[Aplica SOC100%],"Sí")+COUNTIFS(Metodologia[Fase],Fases[[#This Row],[Fases]],Metodologia[Aplica SOC100%],"No, pero és recomanable")</calculatedColumnFormula>
    </tableColumn>
    <tableColumn id="8" xr3:uid="{00000000-0010-0000-0700-000008000000}" name="Aplica SOCMIX" totalsRowFunction="sum" dataDxfId="60" totalsRowDxfId="59">
      <calculatedColumnFormula>COUNTIFS(Metodologia[Fase],Fases[[#This Row],[Fases]],Metodologia[Aplica SOCMIX],"Sí")+COUNTIFS(Metodologia[Fase],Fases[[#This Row],[Fases]],Metodologia[Aplica SOCMIX],"No, pero és recomanable")</calculatedColumnFormula>
    </tableColumn>
    <tableColumn id="9" xr3:uid="{00000000-0010-0000-0700-000009000000}" name="Aplica CONS" totalsRowFunction="sum" dataDxfId="58" totalsRowDxfId="57">
      <calculatedColumnFormula>COUNTIFS(Metodologia[Fase],Fases[[#This Row],[Fases]],Metodologia[Aplica CONS],"Sí")+COUNTIFS(Metodologia[Fase],Fases[[#This Row],[Fases]],Metodologia[Aplica CONS],"No, pero és recomanable")</calculatedColumnFormula>
    </tableColumn>
    <tableColumn id="10" xr3:uid="{00000000-0010-0000-0700-00000A000000}" name="Aplica FUND" totalsRowFunction="sum" dataDxfId="56" totalsRowDxfId="55">
      <calculatedColumnFormula>COUNTIFS(Metodologia[Fase],Fases[[#This Row],[Fases]],Metodologia[Aplica FUND],"Sí")+COUNTIFS(Metodologia[Fase],Fases[[#This Row],[Fases]],Metodologia[Aplica FUND],"No, pero és recomanable")</calculatedColumnFormula>
    </tableColumn>
    <tableColumn id="11" xr3:uid="{00000000-0010-0000-0700-00000B000000}" name="Aplica MANC" totalsRowFunction="sum" dataDxfId="54" totalsRowDxfId="53">
      <calculatedColumnFormula>COUNTIFS(Metodologia[Fase],Fases[[#This Row],[Fases]],Metodologia[Aplica MANC],"Sí")+COUNTIFS(Metodologia[Fase],Fases[[#This Row],[Fases]],Metodologia[Aplica MANC],"No, pero és recomanable")</calculatedColumnFormula>
    </tableColumn>
  </tableColumns>
  <tableStyleInfo name="TableStyleMedium8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ula1_TipusEns" displayName="Taula1_TipusEns" ref="A1:C14" totalsRowShown="0">
  <autoFilter ref="A1:C14" xr:uid="{00000000-0009-0000-0100-000001000000}"/>
  <tableColumns count="3">
    <tableColumn id="1" xr3:uid="{00000000-0010-0000-0800-000001000000}" name="Tipus d'ens"/>
    <tableColumn id="2" xr3:uid="{00000000-0010-0000-0800-000002000000}" name="Aplica"/>
    <tableColumn id="4" xr3:uid="{00000000-0010-0000-0800-000004000000}" name="Columna" dataDxfId="52">
      <calculatedColumnFormula>MATCH(Taula1_TipusEns[[#This Row],[Aplica]],Metodologia[#Headers],0)</calculatedColumnFormula>
    </tableColumn>
  </tableColumns>
  <tableStyleInfo name="TableStyleMedium8 2" showFirstColumn="0" showLastColumn="0" showRowStripes="1" showColumnStripes="0"/>
</table>
</file>

<file path=xl/theme/theme1.xml><?xml version="1.0" encoding="utf-8"?>
<a:theme xmlns:a="http://schemas.openxmlformats.org/drawingml/2006/main" name="Tema de Office">
  <a:themeElements>
    <a:clrScheme name="AOC">
      <a:dk1>
        <a:srgbClr val="1B2124"/>
      </a:dk1>
      <a:lt1>
        <a:srgbClr val="FFFFFF"/>
      </a:lt1>
      <a:dk2>
        <a:srgbClr val="656D72"/>
      </a:dk2>
      <a:lt2>
        <a:srgbClr val="E5E6E8"/>
      </a:lt2>
      <a:accent1>
        <a:srgbClr val="005CD1"/>
      </a:accent1>
      <a:accent2>
        <a:srgbClr val="118151"/>
      </a:accent2>
      <a:accent3>
        <a:srgbClr val="A91DCE"/>
      </a:accent3>
      <a:accent4>
        <a:srgbClr val="DA0229"/>
      </a:accent4>
      <a:accent5>
        <a:srgbClr val="F47648"/>
      </a:accent5>
      <a:accent6>
        <a:srgbClr val="FFD06A"/>
      </a:accent6>
      <a:hlink>
        <a:srgbClr val="14857A"/>
      </a:hlink>
      <a:folHlink>
        <a:srgbClr val="7048E8"/>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table" Target="../tables/table9.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workbookViewId="0">
      <selection activeCell="B11" sqref="B11"/>
    </sheetView>
  </sheetViews>
  <sheetFormatPr baseColWidth="10" defaultColWidth="9" defaultRowHeight="14.25" x14ac:dyDescent="0.2"/>
  <cols>
    <col min="1" max="1" width="29" customWidth="1"/>
    <col min="2" max="2" width="67.5" customWidth="1"/>
  </cols>
  <sheetData>
    <row r="1" spans="1:2" ht="23.25" x14ac:dyDescent="0.2">
      <c r="A1" s="49" t="s">
        <v>885</v>
      </c>
    </row>
    <row r="2" spans="1:2" ht="20.100000000000001" customHeight="1" x14ac:dyDescent="0.2">
      <c r="A2" s="50" t="s">
        <v>1228</v>
      </c>
      <c r="B2" s="50"/>
    </row>
    <row r="3" spans="1:2" ht="20.100000000000001" customHeight="1" x14ac:dyDescent="0.2"/>
    <row r="4" spans="1:2" ht="20.100000000000001" customHeight="1" thickBot="1" x14ac:dyDescent="0.25">
      <c r="A4" s="51" t="s">
        <v>1231</v>
      </c>
      <c r="B4" s="51"/>
    </row>
    <row r="5" spans="1:2" ht="20.100000000000001" customHeight="1" thickTop="1" thickBot="1" x14ac:dyDescent="0.25">
      <c r="A5" s="52" t="s">
        <v>908</v>
      </c>
      <c r="B5" s="60" t="s">
        <v>1233</v>
      </c>
    </row>
    <row r="6" spans="1:2" ht="20.100000000000001" customHeight="1" thickBot="1" x14ac:dyDescent="0.25">
      <c r="A6" s="53" t="s">
        <v>909</v>
      </c>
      <c r="B6" s="59" t="s">
        <v>871</v>
      </c>
    </row>
    <row r="7" spans="1:2" ht="20.100000000000001" customHeight="1" thickBot="1" x14ac:dyDescent="0.25">
      <c r="A7" s="53" t="s">
        <v>910</v>
      </c>
      <c r="B7" s="59" t="s">
        <v>626</v>
      </c>
    </row>
    <row r="8" spans="1:2" ht="20.100000000000001" customHeight="1" thickBot="1" x14ac:dyDescent="0.25">
      <c r="A8" s="53" t="s">
        <v>911</v>
      </c>
      <c r="B8" s="58">
        <f>COUNTIF(Avaluacio[Avaluable],"Sí")</f>
        <v>146</v>
      </c>
    </row>
    <row r="9" spans="1:2" ht="20.100000000000001" customHeight="1" thickBot="1" x14ac:dyDescent="0.25">
      <c r="A9" s="53" t="s">
        <v>912</v>
      </c>
      <c r="B9" s="56">
        <v>2026</v>
      </c>
    </row>
    <row r="10" spans="1:2" ht="20.100000000000001" customHeight="1" thickBot="1" x14ac:dyDescent="0.25">
      <c r="A10" s="53" t="s">
        <v>913</v>
      </c>
      <c r="B10" s="57">
        <v>46205</v>
      </c>
    </row>
  </sheetData>
  <sheetProtection algorithmName="SHA-512" hashValue="jXerYmZUBv8RUSQnrb3ik/yjJDqk/ZQlc6vQ7nmIbCVN2JS/LYKKz8Ga48m7SF/CU8ghf703Ea+zKx+Yo8JMJw==" saltValue="G45wojs7Qdq4qvI5Ox7fKg==" spinCount="100000" sheet="1" objects="1" scenarios="1"/>
  <conditionalFormatting sqref="B5">
    <cfRule type="cellIs" dxfId="49" priority="1" operator="equal">
      <formula>"Indiqueu el nom oficial de l'ens avaluat"</formula>
    </cfRule>
  </conditionalFormatting>
  <conditionalFormatting sqref="B6:B7">
    <cfRule type="cellIs" dxfId="48" priority="2" operator="equal">
      <formula>"Seleccioneu..."</formula>
    </cfRule>
  </conditionalFormatting>
  <conditionalFormatting sqref="B8">
    <cfRule type="cellIs" dxfId="47" priority="3" operator="equal">
      <formula>0</formula>
    </cfRule>
  </conditionalFormatting>
  <conditionalFormatting sqref="B9">
    <cfRule type="cellIs" dxfId="46" priority="4" operator="equal">
      <formula>"aaaa"</formula>
    </cfRule>
  </conditionalFormatting>
  <conditionalFormatting sqref="B10">
    <cfRule type="cellIs" dxfId="45" priority="5" operator="equal">
      <formula>"dd/mm/aaaa"</formula>
    </cfRule>
  </conditionalFormatting>
  <dataValidations count="4">
    <dataValidation type="list" allowBlank="1" showInputMessage="1" showErrorMessage="1" sqref="B6" xr:uid="{00000000-0002-0000-0000-000000000000}">
      <formula1>Desp1_TipusEns</formula1>
    </dataValidation>
    <dataValidation type="list" allowBlank="1" showInputMessage="1" showErrorMessage="1" sqref="B7" xr:uid="{00000000-0002-0000-0000-000001000000}">
      <formula1>Desp2_Fases</formula1>
    </dataValidation>
    <dataValidation type="whole" allowBlank="1" showInputMessage="1" showErrorMessage="1" sqref="B9" xr:uid="{00000000-0002-0000-0000-000002000000}">
      <formula1>2000</formula1>
      <formula2>2100</formula2>
    </dataValidation>
    <dataValidation type="date" operator="greaterThan" allowBlank="1" showInputMessage="1" showErrorMessage="1" sqref="B10" xr:uid="{00000000-0002-0000-0000-000003000000}">
      <formula1>36526</formula1>
    </dataValidation>
  </dataValidations>
  <pageMargins left="0.7" right="0.7" top="0.75" bottom="0.75" header="0.3" footer="0.3"/>
  <pageSetup paperSize="9"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9"/>
  <sheetViews>
    <sheetView tabSelected="1" topLeftCell="A139" workbookViewId="0">
      <selection activeCell="E101" sqref="E101"/>
    </sheetView>
  </sheetViews>
  <sheetFormatPr baseColWidth="10" defaultColWidth="8.875" defaultRowHeight="14.25" x14ac:dyDescent="0.2"/>
  <cols>
    <col min="1" max="1" width="9" style="6" bestFit="1" customWidth="1"/>
    <col min="2" max="2" width="10.625" style="6" customWidth="1"/>
    <col min="3" max="3" width="17.25" customWidth="1"/>
    <col min="4" max="4" width="19.875" customWidth="1"/>
    <col min="5" max="5" width="16" customWidth="1"/>
    <col min="6" max="6" width="7.125" style="6" bestFit="1" customWidth="1"/>
    <col min="7" max="8" width="15.25" customWidth="1"/>
    <col min="9" max="9" width="25.25" customWidth="1"/>
    <col min="10" max="10" width="13.125" customWidth="1"/>
    <col min="11" max="11" width="11.75" customWidth="1"/>
    <col min="12" max="12" width="30.625" customWidth="1"/>
    <col min="13" max="14" width="11.75" customWidth="1"/>
  </cols>
  <sheetData>
    <row r="1" spans="1:14" ht="30" x14ac:dyDescent="0.2">
      <c r="A1" s="6" t="s">
        <v>649</v>
      </c>
      <c r="B1" s="6" t="s">
        <v>650</v>
      </c>
      <c r="C1" t="s">
        <v>887</v>
      </c>
      <c r="D1" t="s">
        <v>651</v>
      </c>
      <c r="E1" t="s">
        <v>652</v>
      </c>
      <c r="F1" s="6" t="s">
        <v>933</v>
      </c>
      <c r="G1" t="s">
        <v>640</v>
      </c>
      <c r="H1" t="s">
        <v>641</v>
      </c>
      <c r="I1" t="s">
        <v>653</v>
      </c>
      <c r="J1" t="s">
        <v>654</v>
      </c>
      <c r="K1" t="s">
        <v>655</v>
      </c>
      <c r="L1" t="s">
        <v>869</v>
      </c>
      <c r="M1" t="s">
        <v>944</v>
      </c>
      <c r="N1" t="s">
        <v>945</v>
      </c>
    </row>
    <row r="2" spans="1:14" ht="57" hidden="1" x14ac:dyDescent="0.2">
      <c r="A2" s="6" t="s">
        <v>957</v>
      </c>
      <c r="B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 s="1" t="str">
        <f>VLOOKUP(Avaluacio[[#This Row],[Codi ítem]],Metodologia[[Codi ítem]:[Ítem]],COLUMN(Metodologia[[#Headers],[Ítem]]),FALSE)</f>
        <v>Competències i funcions</v>
      </c>
      <c r="D2" t="str">
        <f>VLOOKUP(Avaluacio[[#This Row],[Codi ítem]],Metodologia[[Codi ítem]:[Família]],COLUMN(Metodologia[[#Headers],[Família]]),FALSE)</f>
        <v>Informació institucional i organitzativa</v>
      </c>
      <c r="E2" t="str">
        <f>VLOOKUP(Avaluacio[[#This Row],[Codi ítem]],Metodologia[[Codi ítem]:[Subfamília]],COLUMN(Metodologia[[#Headers],[Subfamília]]),FALSE)</f>
        <v>Informació institucional</v>
      </c>
      <c r="F2" s="6" t="str">
        <f>VLOOKUP(Avaluacio[[#This Row],[Codi ítem]],Metodologia[[Codi ítem]:[Fase]],COLUMN(Metodologia[[#Headers],[Fase]]),FALSE)</f>
        <v>Fase 3</v>
      </c>
      <c r="G2" s="54" t="s">
        <v>620</v>
      </c>
      <c r="H2" s="54" t="s">
        <v>620</v>
      </c>
      <c r="I2" s="55"/>
      <c r="J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https://municat.gencat.cat/ca/Temes/Transparencia/Items-de-transparencia/1.1.1.Competencies-i-funcions</v>
      </c>
      <c r="M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1.0070557712971515</v>
      </c>
      <c r="N2" s="8" t="str">
        <f>Avaluacio[[#This Row],[Codi ítem]]</f>
        <v>XGO001</v>
      </c>
    </row>
    <row r="3" spans="1:14" ht="57" hidden="1" x14ac:dyDescent="0.2">
      <c r="A3" s="6" t="s">
        <v>958</v>
      </c>
      <c r="B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 s="1" t="str">
        <f>VLOOKUP(Avaluacio[[#This Row],[Codi ítem]],Metodologia[[Codi ítem]:[Ítem]],COLUMN(Metodologia[[#Headers],[Ítem]]),FALSE)</f>
        <v>Organigrama de l'ens</v>
      </c>
      <c r="D3" t="str">
        <f>VLOOKUP(Avaluacio[[#This Row],[Codi ítem]],Metodologia[[Codi ítem]:[Família]],COLUMN(Metodologia[[#Headers],[Família]]),FALSE)</f>
        <v>Informació institucional i organitzativa</v>
      </c>
      <c r="E3" t="str">
        <f>VLOOKUP(Avaluacio[[#This Row],[Codi ítem]],Metodologia[[Codi ítem]:[Subfamília]],COLUMN(Metodologia[[#Headers],[Subfamília]]),FALSE)</f>
        <v>Informació institucional</v>
      </c>
      <c r="F3" s="6" t="str">
        <f>VLOOKUP(Avaluacio[[#This Row],[Codi ítem]],Metodologia[[Codi ítem]:[Fase]],COLUMN(Metodologia[[#Headers],[Fase]]),FALSE)</f>
        <v>Fase 3</v>
      </c>
      <c r="G3" s="54" t="s">
        <v>620</v>
      </c>
      <c r="H3" s="54" t="s">
        <v>620</v>
      </c>
      <c r="I3" s="55"/>
      <c r="J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https://municat.gencat.cat/ca/Temes/Transparencia/Items-de-transparencia/1.1.2.Organigrama-ens</v>
      </c>
      <c r="M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1.0151857079570947</v>
      </c>
      <c r="N3" s="8" t="str">
        <f>Avaluacio[[#This Row],[Codi ítem]]</f>
        <v>XGO002</v>
      </c>
    </row>
    <row r="4" spans="1:14" ht="57" hidden="1" x14ac:dyDescent="0.2">
      <c r="A4" s="6" t="s">
        <v>959</v>
      </c>
      <c r="B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 s="1" t="str">
        <f>VLOOKUP(Avaluacio[[#This Row],[Codi ítem]],Metodologia[[Codi ítem]:[Ítem]],COLUMN(Metodologia[[#Headers],[Ítem]]),FALSE)</f>
        <v>Organismes dependents o vinculats</v>
      </c>
      <c r="D4" t="str">
        <f>VLOOKUP(Avaluacio[[#This Row],[Codi ítem]],Metodologia[[Codi ítem]:[Família]],COLUMN(Metodologia[[#Headers],[Família]]),FALSE)</f>
        <v>Informació institucional i organitzativa</v>
      </c>
      <c r="E4" t="str">
        <f>VLOOKUP(Avaluacio[[#This Row],[Codi ítem]],Metodologia[[Codi ítem]:[Subfamília]],COLUMN(Metodologia[[#Headers],[Subfamília]]),FALSE)</f>
        <v>Informació institucional</v>
      </c>
      <c r="F4" s="6" t="str">
        <f>VLOOKUP(Avaluacio[[#This Row],[Codi ítem]],Metodologia[[Codi ítem]:[Fase]],COLUMN(Metodologia[[#Headers],[Fase]]),FALSE)</f>
        <v>Fase 1</v>
      </c>
      <c r="G4" s="54" t="s">
        <v>620</v>
      </c>
      <c r="H4" s="54" t="s">
        <v>620</v>
      </c>
      <c r="I4" s="55"/>
      <c r="J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https://municat.gencat.cat/ca/Temes/Transparencia/Items-de-transparencia/1.1.3.Organismes-dependents-o-vinculats</v>
      </c>
      <c r="M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1.0015700699379795</v>
      </c>
      <c r="N4" s="8" t="str">
        <f>Avaluacio[[#This Row],[Codi ítem]]</f>
        <v>XGO003</v>
      </c>
    </row>
    <row r="5" spans="1:14" ht="57" hidden="1" x14ac:dyDescent="0.2">
      <c r="A5" s="6" t="s">
        <v>960</v>
      </c>
      <c r="B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 s="1" t="str">
        <f>VLOOKUP(Avaluacio[[#This Row],[Codi ítem]],Metodologia[[Codi ítem]:[Ítem]],COLUMN(Metodologia[[#Headers],[Ítem]]),FALSE)</f>
        <v>Organismes dels que forma part</v>
      </c>
      <c r="D5" t="str">
        <f>VLOOKUP(Avaluacio[[#This Row],[Codi ítem]],Metodologia[[Codi ítem]:[Família]],COLUMN(Metodologia[[#Headers],[Família]]),FALSE)</f>
        <v>Informació institucional i organitzativa</v>
      </c>
      <c r="E5" t="str">
        <f>VLOOKUP(Avaluacio[[#This Row],[Codi ítem]],Metodologia[[Codi ítem]:[Subfamília]],COLUMN(Metodologia[[#Headers],[Subfamília]]),FALSE)</f>
        <v>Informació institucional</v>
      </c>
      <c r="F5" s="6" t="str">
        <f>VLOOKUP(Avaluacio[[#This Row],[Codi ítem]],Metodologia[[Codi ítem]:[Fase]],COLUMN(Metodologia[[#Headers],[Fase]]),FALSE)</f>
        <v>Fase 1</v>
      </c>
      <c r="G5" s="54" t="s">
        <v>620</v>
      </c>
      <c r="H5" s="54" t="s">
        <v>620</v>
      </c>
      <c r="I5" s="55"/>
      <c r="J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https://municat.gencat.cat/ca/Temes/Transparencia/Items-de-transparencia/1.1.3.Organismes-dependents-o-vinculats</v>
      </c>
      <c r="M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1.0010345778272098</v>
      </c>
      <c r="N5" s="8" t="str">
        <f>Avaluacio[[#This Row],[Codi ítem]]</f>
        <v>XGO004</v>
      </c>
    </row>
    <row r="6" spans="1:14" ht="57" hidden="1" x14ac:dyDescent="0.2">
      <c r="A6" s="6" t="s">
        <v>961</v>
      </c>
      <c r="B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No</v>
      </c>
      <c r="C6" s="1" t="str">
        <f>VLOOKUP(Avaluacio[[#This Row],[Codi ítem]],Metodologia[[Codi ítem]:[Ítem]],COLUMN(Metodologia[[#Headers],[Ítem]]),FALSE)</f>
        <v>Organismes que el formen</v>
      </c>
      <c r="D6" t="str">
        <f>VLOOKUP(Avaluacio[[#This Row],[Codi ítem]],Metodologia[[Codi ítem]:[Família]],COLUMN(Metodologia[[#Headers],[Família]]),FALSE)</f>
        <v>Informació institucional i organitzativa</v>
      </c>
      <c r="E6" t="str">
        <f>VLOOKUP(Avaluacio[[#This Row],[Codi ítem]],Metodologia[[Codi ítem]:[Subfamília]],COLUMN(Metodologia[[#Headers],[Subfamília]]),FALSE)</f>
        <v>Informació institucional</v>
      </c>
      <c r="F6" s="6" t="str">
        <f>VLOOKUP(Avaluacio[[#This Row],[Codi ítem]],Metodologia[[Codi ítem]:[Fase]],COLUMN(Metodologia[[#Headers],[Fase]]),FALSE)</f>
        <v>Fase 1</v>
      </c>
      <c r="G6" s="54" t="str">
        <f>IF(Avaluacio[[#This Row],[Avaluable]]="No","Exclòs",IF(VLOOKUP(Avaluacio[[#This Row],[Codi ítem]],Metodologia[],VLOOKUP('1_Plantejament'!$B$6,Taula1_TipusEns[],3,FALSE),FALSE)="No, però és recomanable","Opcional",IF(LEFT(VLOOKUP(Avaluacio[[#This Row],[Codi ítem]],Metodologia[[Codi ítem]:[Tipus ítem]],COLUMN(Metodologia[[#Headers],[Tipus ítem]]),FALSE),9)="Automàtic","Sí (confirmar)","")))</f>
        <v>Exclòs</v>
      </c>
      <c r="H6" s="54" t="str">
        <f>IF(Avaluacio[[#This Row],[Avaluable]]="No","Exclòs",IF(Avaluacio[[#This Row],[Contingut]]="N/A","N/A",IF(VLOOKUP(Avaluacio[[#This Row],[Codi ítem]],Metodologia[],VLOOKUP('1_Plantejament'!$B$6,Taula1_TipusEns[],3,FALSE),FALSE)="No, però és recomanable","Opcional",IF(LEFT(VLOOKUP(Avaluacio[[#This Row],[Codi ítem]],Metodologia[[Codi ítem]:[Tipus ítem]],COLUMN(Metodologia[[#Headers],[Tipus ítem]]),FALSE),9)="Automàtic","Sí (confirmar)",""))))</f>
        <v>Exclòs</v>
      </c>
      <c r="I6" s="55"/>
      <c r="J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aplicable</v>
      </c>
      <c r="K6" s="8" t="str">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
      </c>
      <c r="L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https://municat.gencat.cat/ca/Temes/Transparencia/Items-de-transparencia/1.1.3.Organismes-dependents-o-vinculats</v>
      </c>
      <c r="M6" s="23" t="str">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v>
      </c>
      <c r="N6" s="8" t="str">
        <f>Avaluacio[[#This Row],[Codi ítem]]</f>
        <v>XGO005</v>
      </c>
    </row>
    <row r="7" spans="1:14" ht="60" hidden="1" x14ac:dyDescent="0.2">
      <c r="A7" s="6" t="s">
        <v>963</v>
      </c>
      <c r="B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 s="1" t="str">
        <f>VLOOKUP(Avaluacio[[#This Row],[Codi ítem]],Metodologia[[Codi ítem]:[Ítem]],COLUMN(Metodologia[[#Headers],[Ítem]]),FALSE)</f>
        <v>Agenda institucional dels alts càrrecs i personal directiu</v>
      </c>
      <c r="D7" t="str">
        <f>VLOOKUP(Avaluacio[[#This Row],[Codi ítem]],Metodologia[[Codi ítem]:[Família]],COLUMN(Metodologia[[#Headers],[Família]]),FALSE)</f>
        <v>Informació institucional i organitzativa</v>
      </c>
      <c r="E7" t="str">
        <f>VLOOKUP(Avaluacio[[#This Row],[Codi ítem]],Metodologia[[Codi ítem]:[Subfamília]],COLUMN(Metodologia[[#Headers],[Subfamília]]),FALSE)</f>
        <v>Informació institucional</v>
      </c>
      <c r="F7" s="6" t="str">
        <f>VLOOKUP(Avaluacio[[#This Row],[Codi ítem]],Metodologia[[Codi ítem]:[Fase]],COLUMN(Metodologia[[#Headers],[Fase]]),FALSE)</f>
        <v>Fase 4</v>
      </c>
      <c r="G7" s="54" t="s">
        <v>621</v>
      </c>
      <c r="H7" s="54" t="s">
        <v>621</v>
      </c>
      <c r="I7" s="55"/>
      <c r="J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https://municat.gencat.cat/ca/Temes/Transparencia/Items-de-transparencia/1.1.5agenda-alts-carrecs</v>
      </c>
      <c r="M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-2.6841762964917902E-3</v>
      </c>
      <c r="N7" s="8" t="str">
        <f>Avaluacio[[#This Row],[Codi ítem]]</f>
        <v>XGO006</v>
      </c>
    </row>
    <row r="8" spans="1:14" ht="60" hidden="1" x14ac:dyDescent="0.2">
      <c r="A8" s="6" t="s">
        <v>964</v>
      </c>
      <c r="B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 s="1" t="str">
        <f>VLOOKUP(Avaluacio[[#This Row],[Codi ítem]],Metodologia[[Codi ítem]:[Ítem]],COLUMN(Metodologia[[#Headers],[Ítem]]),FALSE)</f>
        <v>Relació d'obsequis als alts càrrecs i personal directiu</v>
      </c>
      <c r="D8" t="str">
        <f>VLOOKUP(Avaluacio[[#This Row],[Codi ítem]],Metodologia[[Codi ítem]:[Família]],COLUMN(Metodologia[[#Headers],[Família]]),FALSE)</f>
        <v>Informació institucional i organitzativa</v>
      </c>
      <c r="E8" t="str">
        <f>VLOOKUP(Avaluacio[[#This Row],[Codi ítem]],Metodologia[[Codi ítem]:[Subfamília]],COLUMN(Metodologia[[#Headers],[Subfamília]]),FALSE)</f>
        <v>Informació institucional</v>
      </c>
      <c r="F8" s="6" t="str">
        <f>VLOOKUP(Avaluacio[[#This Row],[Codi ítem]],Metodologia[[Codi ítem]:[Fase]],COLUMN(Metodologia[[#Headers],[Fase]]),FALSE)</f>
        <v>Fase 4</v>
      </c>
      <c r="G8" s="54" t="s">
        <v>620</v>
      </c>
      <c r="H8" s="54" t="s">
        <v>620</v>
      </c>
      <c r="I8" s="55"/>
      <c r="J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https://municat.gencat.cat/ca/Temes/Transparencia/Items-de-transparencia/1.1.5relacio-obsequis-invitacions-alts-carrecs</v>
      </c>
      <c r="M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1.0021094501102796</v>
      </c>
      <c r="N8" s="8" t="str">
        <f>Avaluacio[[#This Row],[Codi ítem]]</f>
        <v>XGO007</v>
      </c>
    </row>
    <row r="9" spans="1:14" ht="60" hidden="1" x14ac:dyDescent="0.2">
      <c r="A9" s="6" t="s">
        <v>965</v>
      </c>
      <c r="B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 s="1" t="str">
        <f>VLOOKUP(Avaluacio[[#This Row],[Codi ítem]],Metodologia[[Codi ítem]:[Ítem]],COLUMN(Metodologia[[#Headers],[Ítem]]),FALSE)</f>
        <v>Relació d'invitacions als alts càrrecs i personal directiu</v>
      </c>
      <c r="D9" t="str">
        <f>VLOOKUP(Avaluacio[[#This Row],[Codi ítem]],Metodologia[[Codi ítem]:[Família]],COLUMN(Metodologia[[#Headers],[Família]]),FALSE)</f>
        <v>Informació institucional i organitzativa</v>
      </c>
      <c r="E9" t="str">
        <f>VLOOKUP(Avaluacio[[#This Row],[Codi ítem]],Metodologia[[Codi ítem]:[Subfamília]],COLUMN(Metodologia[[#Headers],[Subfamília]]),FALSE)</f>
        <v>Informació institucional</v>
      </c>
      <c r="F9" s="6" t="str">
        <f>VLOOKUP(Avaluacio[[#This Row],[Codi ítem]],Metodologia[[Codi ítem]:[Fase]],COLUMN(Metodologia[[#Headers],[Fase]]),FALSE)</f>
        <v>Fase 4</v>
      </c>
      <c r="G9" s="54" t="s">
        <v>620</v>
      </c>
      <c r="H9" s="54" t="s">
        <v>620</v>
      </c>
      <c r="I9" s="55"/>
      <c r="J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https://municat.gencat.cat/ca/Temes/Transparencia/Items-de-transparencia/1.1.5relacio-obsequis-invitacions-alts-carrecs</v>
      </c>
      <c r="M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1.0003170537447923</v>
      </c>
      <c r="N9" s="8" t="str">
        <f>Avaluacio[[#This Row],[Codi ítem]]</f>
        <v>XGO008</v>
      </c>
    </row>
    <row r="10" spans="1:14" ht="57" x14ac:dyDescent="0.2">
      <c r="A10" s="6" t="s">
        <v>966</v>
      </c>
      <c r="B1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 s="1" t="str">
        <f>VLOOKUP(Avaluacio[[#This Row],[Codi ítem]],Metodologia[[Codi ítem]:[Ítem]],COLUMN(Metodologia[[#Headers],[Ítem]]),FALSE)</f>
        <v>Agenda d'activitats</v>
      </c>
      <c r="D10" t="str">
        <f>VLOOKUP(Avaluacio[[#This Row],[Codi ítem]],Metodologia[[Codi ítem]:[Família]],COLUMN(Metodologia[[#Headers],[Família]]),FALSE)</f>
        <v>Informació institucional i organitzativa</v>
      </c>
      <c r="E10" t="str">
        <f>VLOOKUP(Avaluacio[[#This Row],[Codi ítem]],Metodologia[[Codi ítem]:[Subfamília]],COLUMN(Metodologia[[#Headers],[Subfamília]]),FALSE)</f>
        <v>Informació institucional</v>
      </c>
      <c r="F10" s="6" t="str">
        <f>VLOOKUP(Avaluacio[[#This Row],[Codi ítem]],Metodologia[[Codi ítem]:[Fase]],COLUMN(Metodologia[[#Headers],[Fase]]),FALSE)</f>
        <v>Fase 5</v>
      </c>
      <c r="G10" s="54" t="s">
        <v>620</v>
      </c>
      <c r="H10" s="54" t="s">
        <v>620</v>
      </c>
      <c r="I10" s="55"/>
      <c r="J1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https://municat.gencat.cat/ca/Temes/Transparencia/Items-de-transparencia/1.1.6.Agenda-Activitats</v>
      </c>
      <c r="M1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1.0069069645785813</v>
      </c>
      <c r="N10" s="8" t="str">
        <f>Avaluacio[[#This Row],[Codi ítem]]</f>
        <v>XGO009</v>
      </c>
    </row>
    <row r="11" spans="1:14" ht="57" hidden="1" x14ac:dyDescent="0.2">
      <c r="A11" s="6" t="s">
        <v>967</v>
      </c>
      <c r="B1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 s="1" t="str">
        <f>VLOOKUP(Avaluacio[[#This Row],[Codi ítem]],Metodologia[[Codi ítem]:[Ítem]],COLUMN(Metodologia[[#Headers],[Ítem]]),FALSE)</f>
        <v>Dades generals de l'ens</v>
      </c>
      <c r="D11" t="str">
        <f>VLOOKUP(Avaluacio[[#This Row],[Codi ítem]],Metodologia[[Codi ítem]:[Família]],COLUMN(Metodologia[[#Headers],[Família]]),FALSE)</f>
        <v>Informació institucional i organitzativa</v>
      </c>
      <c r="E11" t="str">
        <f>VLOOKUP(Avaluacio[[#This Row],[Codi ítem]],Metodologia[[Codi ítem]:[Subfamília]],COLUMN(Metodologia[[#Headers],[Subfamília]]),FALSE)</f>
        <v>Informació institucional</v>
      </c>
      <c r="F11" s="6" t="str">
        <f>VLOOKUP(Avaluacio[[#This Row],[Codi ítem]],Metodologia[[Codi ítem]:[Fase]],COLUMN(Metodologia[[#Headers],[Fase]]),FALSE)</f>
        <v>Fase 1</v>
      </c>
      <c r="G11" s="54" t="s">
        <v>620</v>
      </c>
      <c r="H11" s="54" t="s">
        <v>620</v>
      </c>
      <c r="I11" s="55"/>
      <c r="J1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https://municat.gencat.cat/ca/Temes/Transparencia/Items-de-transparencia/1.1.7.Dades-generals-ens</v>
      </c>
      <c r="M1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1.0067740635662714</v>
      </c>
      <c r="N11" s="8" t="str">
        <f>Avaluacio[[#This Row],[Codi ítem]]</f>
        <v>XGO010</v>
      </c>
    </row>
    <row r="12" spans="1:14" ht="57" x14ac:dyDescent="0.2">
      <c r="A12" s="6" t="s">
        <v>968</v>
      </c>
      <c r="B1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 s="1" t="str">
        <f>VLOOKUP(Avaluacio[[#This Row],[Codi ítem]],Metodologia[[Codi ítem]:[Ítem]],COLUMN(Metodologia[[#Headers],[Ítem]]),FALSE)</f>
        <v>Informació històrica sobre el municipi</v>
      </c>
      <c r="D12" t="str">
        <f>VLOOKUP(Avaluacio[[#This Row],[Codi ítem]],Metodologia[[Codi ítem]:[Família]],COLUMN(Metodologia[[#Headers],[Família]]),FALSE)</f>
        <v>Informació institucional i organitzativa</v>
      </c>
      <c r="E12" t="str">
        <f>VLOOKUP(Avaluacio[[#This Row],[Codi ítem]],Metodologia[[Codi ítem]:[Subfamília]],COLUMN(Metodologia[[#Headers],[Subfamília]]),FALSE)</f>
        <v>Informació institucional</v>
      </c>
      <c r="F12" s="6" t="str">
        <f>VLOOKUP(Avaluacio[[#This Row],[Codi ítem]],Metodologia[[Codi ítem]:[Fase]],COLUMN(Metodologia[[#Headers],[Fase]]),FALSE)</f>
        <v>Fase 5</v>
      </c>
      <c r="G12" s="54" t="s">
        <v>620</v>
      </c>
      <c r="H12" s="54" t="s">
        <v>620</v>
      </c>
      <c r="I12" s="55"/>
      <c r="J1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https://municat.gencat.cat/ca/Temes/Transparencia/Items-de-transparencia/1.1.8.Informacio-historica-sobre-municipi</v>
      </c>
      <c r="M1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1.0021189935340358</v>
      </c>
      <c r="N12" s="8" t="str">
        <f>Avaluacio[[#This Row],[Codi ítem]]</f>
        <v>XGO011</v>
      </c>
    </row>
    <row r="13" spans="1:14" ht="57" hidden="1" x14ac:dyDescent="0.2">
      <c r="A13" s="6" t="s">
        <v>969</v>
      </c>
      <c r="B1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 s="1" t="str">
        <f>VLOOKUP(Avaluacio[[#This Row],[Codi ítem]],Metodologia[[Codi ítem]:[Ítem]],COLUMN(Metodologia[[#Headers],[Ítem]]),FALSE)</f>
        <v>Informació del terme municipal</v>
      </c>
      <c r="D13" t="str">
        <f>VLOOKUP(Avaluacio[[#This Row],[Codi ítem]],Metodologia[[Codi ítem]:[Família]],COLUMN(Metodologia[[#Headers],[Família]]),FALSE)</f>
        <v>Informació institucional i organitzativa</v>
      </c>
      <c r="E13" t="str">
        <f>VLOOKUP(Avaluacio[[#This Row],[Codi ítem]],Metodologia[[Codi ítem]:[Subfamília]],COLUMN(Metodologia[[#Headers],[Subfamília]]),FALSE)</f>
        <v>Informació institucional</v>
      </c>
      <c r="F13" s="6" t="str">
        <f>VLOOKUP(Avaluacio[[#This Row],[Codi ítem]],Metodologia[[Codi ítem]:[Fase]],COLUMN(Metodologia[[#Headers],[Fase]]),FALSE)</f>
        <v>Fase 1</v>
      </c>
      <c r="G13" s="54" t="s">
        <v>620</v>
      </c>
      <c r="H13" s="54" t="s">
        <v>620</v>
      </c>
      <c r="I13" s="55"/>
      <c r="J1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https://municat.gencat.cat/ca/Temes/Transparencia/Items-de-transparencia/1.1.9.Informacio-terme-municipal</v>
      </c>
      <c r="M1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1.0033228787678852</v>
      </c>
      <c r="N13" s="8" t="str">
        <f>Avaluacio[[#This Row],[Codi ítem]]</f>
        <v>XGO012</v>
      </c>
    </row>
    <row r="14" spans="1:14" ht="57" hidden="1" x14ac:dyDescent="0.2">
      <c r="A14" s="6" t="s">
        <v>970</v>
      </c>
      <c r="B1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 s="1" t="str">
        <f>VLOOKUP(Avaluacio[[#This Row],[Codi ítem]],Metodologia[[Codi ítem]:[Ítem]],COLUMN(Metodologia[[#Headers],[Ítem]]),FALSE)</f>
        <v>Dades estadístiques</v>
      </c>
      <c r="D14" t="str">
        <f>VLOOKUP(Avaluacio[[#This Row],[Codi ítem]],Metodologia[[Codi ítem]:[Família]],COLUMN(Metodologia[[#Headers],[Família]]),FALSE)</f>
        <v>Informació institucional i organitzativa</v>
      </c>
      <c r="E14" t="str">
        <f>VLOOKUP(Avaluacio[[#This Row],[Codi ítem]],Metodologia[[Codi ítem]:[Subfamília]],COLUMN(Metodologia[[#Headers],[Subfamília]]),FALSE)</f>
        <v>Informació institucional</v>
      </c>
      <c r="F14" s="6" t="str">
        <f>VLOOKUP(Avaluacio[[#This Row],[Codi ítem]],Metodologia[[Codi ítem]:[Fase]],COLUMN(Metodologia[[#Headers],[Fase]]),FALSE)</f>
        <v>Fase 1</v>
      </c>
      <c r="G14" s="54" t="s">
        <v>620</v>
      </c>
      <c r="H14" s="54" t="s">
        <v>620</v>
      </c>
      <c r="I14" s="55"/>
      <c r="J1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https://municat.gencat.cat/ca/Temes/Transparencia/Items-de-transparencia/1.1.10.Dades-estadistiques</v>
      </c>
      <c r="M1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1.0016425292664994</v>
      </c>
      <c r="N14" s="8" t="str">
        <f>Avaluacio[[#This Row],[Codi ítem]]</f>
        <v>XGO013</v>
      </c>
    </row>
    <row r="15" spans="1:14" ht="57" x14ac:dyDescent="0.2">
      <c r="A15" s="6" t="s">
        <v>971</v>
      </c>
      <c r="B1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5" s="1" t="str">
        <f>VLOOKUP(Avaluacio[[#This Row],[Codi ítem]],Metodologia[[Codi ítem]:[Ítem]],COLUMN(Metodologia[[#Headers],[Ítem]]),FALSE)</f>
        <v>Registre de funcionaris habilitats</v>
      </c>
      <c r="D15" t="str">
        <f>VLOOKUP(Avaluacio[[#This Row],[Codi ítem]],Metodologia[[Codi ítem]:[Família]],COLUMN(Metodologia[[#Headers],[Família]]),FALSE)</f>
        <v>Informació institucional i organitzativa</v>
      </c>
      <c r="E15" t="str">
        <f>VLOOKUP(Avaluacio[[#This Row],[Codi ítem]],Metodologia[[Codi ítem]:[Subfamília]],COLUMN(Metodologia[[#Headers],[Subfamília]]),FALSE)</f>
        <v>Informació institucional</v>
      </c>
      <c r="F15" s="6" t="str">
        <f>VLOOKUP(Avaluacio[[#This Row],[Codi ítem]],Metodologia[[Codi ítem]:[Fase]],COLUMN(Metodologia[[#Headers],[Fase]]),FALSE)</f>
        <v>Fase 5</v>
      </c>
      <c r="G15" s="54" t="s">
        <v>620</v>
      </c>
      <c r="H15" s="54" t="s">
        <v>620</v>
      </c>
      <c r="I15" s="55"/>
      <c r="J1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https://municat.gencat.cat/ca/Temes/Transparencia/Items-de-transparencia/1.1.11.Registre-de-funcionaris-habilitats</v>
      </c>
      <c r="M1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1.0008472439534752</v>
      </c>
      <c r="N15" s="8" t="str">
        <f>Avaluacio[[#This Row],[Codi ítem]]</f>
        <v>XGO014</v>
      </c>
    </row>
    <row r="16" spans="1:14" ht="71.25" hidden="1" x14ac:dyDescent="0.2">
      <c r="A16" s="6" t="s">
        <v>972</v>
      </c>
      <c r="B1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6" s="1" t="str">
        <f>VLOOKUP(Avaluacio[[#This Row],[Codi ítem]],Metodologia[[Codi ítem]:[Ítem]],COLUMN(Metodologia[[#Headers],[Ítem]]),FALSE)</f>
        <v>Informació proporcionada per les entitats privades</v>
      </c>
      <c r="D16" t="str">
        <f>VLOOKUP(Avaluacio[[#This Row],[Codi ítem]],Metodologia[[Codi ítem]:[Família]],COLUMN(Metodologia[[#Headers],[Família]]),FALSE)</f>
        <v>Informació institucional i organitzativa</v>
      </c>
      <c r="E16" t="str">
        <f>VLOOKUP(Avaluacio[[#This Row],[Codi ítem]],Metodologia[[Codi ítem]:[Subfamília]],COLUMN(Metodologia[[#Headers],[Subfamília]]),FALSE)</f>
        <v>Informació institucional</v>
      </c>
      <c r="F16" s="6" t="str">
        <f>VLOOKUP(Avaluacio[[#This Row],[Codi ítem]],Metodologia[[Codi ítem]:[Fase]],COLUMN(Metodologia[[#Headers],[Fase]]),FALSE)</f>
        <v>Fase 3</v>
      </c>
      <c r="G16" s="54" t="s">
        <v>620</v>
      </c>
      <c r="H16" s="54" t="s">
        <v>620</v>
      </c>
      <c r="I16" s="55"/>
      <c r="J1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https://municat.gencat.cat/ca/Temes/Transparencia/Items-de-transparencia/1.1.12-Informacioproporcionada-per-entitats-privades</v>
      </c>
      <c r="M1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1.000310338002149</v>
      </c>
      <c r="N16" s="8" t="str">
        <f>Avaluacio[[#This Row],[Codi ítem]]</f>
        <v>XGO015</v>
      </c>
    </row>
    <row r="17" spans="1:14" ht="57" hidden="1" x14ac:dyDescent="0.2">
      <c r="A17" s="6" t="s">
        <v>973</v>
      </c>
      <c r="B1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7" s="1" t="str">
        <f>VLOOKUP(Avaluacio[[#This Row],[Codi ítem]],Metodologia[[Codi ítem]:[Ítem]],COLUMN(Metodologia[[#Headers],[Ítem]]),FALSE)</f>
        <v>Cartipàs: organització política</v>
      </c>
      <c r="D17" t="str">
        <f>VLOOKUP(Avaluacio[[#This Row],[Codi ítem]],Metodologia[[Codi ítem]:[Família]],COLUMN(Metodologia[[#Headers],[Família]]),FALSE)</f>
        <v>Informació institucional i organitzativa</v>
      </c>
      <c r="E17" t="str">
        <f>VLOOKUP(Avaluacio[[#This Row],[Codi ítem]],Metodologia[[Codi ítem]:[Subfamília]],COLUMN(Metodologia[[#Headers],[Subfamília]]),FALSE)</f>
        <v>Organització política i retribucions</v>
      </c>
      <c r="F17" s="6" t="str">
        <f>VLOOKUP(Avaluacio[[#This Row],[Codi ítem]],Metodologia[[Codi ítem]:[Fase]],COLUMN(Metodologia[[#Headers],[Fase]]),FALSE)</f>
        <v>Fase 1</v>
      </c>
      <c r="G17" s="54" t="s">
        <v>620</v>
      </c>
      <c r="H17" s="54" t="s">
        <v>620</v>
      </c>
      <c r="I17" s="55"/>
      <c r="J1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https://municat.gencat.cat/ca/Temes/Transparencia/Items-de-transparencia/1.2.1.Cartipas-organitzacio-politica</v>
      </c>
      <c r="M1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1.0365703998341094</v>
      </c>
      <c r="N17" s="8" t="str">
        <f>Avaluacio[[#This Row],[Codi ítem]]</f>
        <v>XGO016</v>
      </c>
    </row>
    <row r="18" spans="1:14" ht="42.75" hidden="1" x14ac:dyDescent="0.2">
      <c r="A18" s="6" t="s">
        <v>974</v>
      </c>
      <c r="B1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8" s="1" t="str">
        <f>VLOOKUP(Avaluacio[[#This Row],[Codi ítem]],Metodologia[[Codi ítem]:[Ítem]],COLUMN(Metodologia[[#Headers],[Ítem]]),FALSE)</f>
        <v>Càrrecs electes</v>
      </c>
      <c r="D18" t="str">
        <f>VLOOKUP(Avaluacio[[#This Row],[Codi ítem]],Metodologia[[Codi ítem]:[Família]],COLUMN(Metodologia[[#Headers],[Família]]),FALSE)</f>
        <v>Informació institucional i organitzativa</v>
      </c>
      <c r="E18" t="str">
        <f>VLOOKUP(Avaluacio[[#This Row],[Codi ítem]],Metodologia[[Codi ítem]:[Subfamília]],COLUMN(Metodologia[[#Headers],[Subfamília]]),FALSE)</f>
        <v>Organització política i retribucions</v>
      </c>
      <c r="F18" s="6" t="str">
        <f>VLOOKUP(Avaluacio[[#This Row],[Codi ítem]],Metodologia[[Codi ítem]:[Fase]],COLUMN(Metodologia[[#Headers],[Fase]]),FALSE)</f>
        <v>Fase 1</v>
      </c>
      <c r="G18" s="54" t="s">
        <v>620</v>
      </c>
      <c r="H18" s="54" t="s">
        <v>620</v>
      </c>
      <c r="I18" s="55"/>
      <c r="J1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https://municat.gencat.cat/ca/Temes/Transparencia/Items-de-transparencia/1.2.2.Carrecs-electes</v>
      </c>
      <c r="M1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1.1037893283314797</v>
      </c>
      <c r="N18" s="8" t="str">
        <f>Avaluacio[[#This Row],[Codi ítem]]</f>
        <v>XGO017</v>
      </c>
    </row>
    <row r="19" spans="1:14" ht="57" hidden="1" x14ac:dyDescent="0.2">
      <c r="A19" s="6" t="s">
        <v>975</v>
      </c>
      <c r="B1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9" s="1" t="str">
        <f>VLOOKUP(Avaluacio[[#This Row],[Codi ítem]],Metodologia[[Codi ítem]:[Ítem]],COLUMN(Metodologia[[#Headers],[Ítem]]),FALSE)</f>
        <v>Grups polítics/municipals</v>
      </c>
      <c r="D19" t="str">
        <f>VLOOKUP(Avaluacio[[#This Row],[Codi ítem]],Metodologia[[Codi ítem]:[Família]],COLUMN(Metodologia[[#Headers],[Família]]),FALSE)</f>
        <v>Informació institucional i organitzativa</v>
      </c>
      <c r="E19" t="str">
        <f>VLOOKUP(Avaluacio[[#This Row],[Codi ítem]],Metodologia[[Codi ítem]:[Subfamília]],COLUMN(Metodologia[[#Headers],[Subfamília]]),FALSE)</f>
        <v>Organització política i retribucions</v>
      </c>
      <c r="F19" s="6" t="str">
        <f>VLOOKUP(Avaluacio[[#This Row],[Codi ítem]],Metodologia[[Codi ítem]:[Fase]],COLUMN(Metodologia[[#Headers],[Fase]]),FALSE)</f>
        <v>Fase 1</v>
      </c>
      <c r="G19" s="54" t="s">
        <v>620</v>
      </c>
      <c r="H19" s="54" t="s">
        <v>620</v>
      </c>
      <c r="I19" s="55"/>
      <c r="J1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https://municat.gencat.cat/ca/Temes/Transparencia/Items-de-transparencia/1.2.3.Grups-politics-municipals</v>
      </c>
      <c r="M1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1.0191165381642695</v>
      </c>
      <c r="N19" s="8" t="str">
        <f>Avaluacio[[#This Row],[Codi ítem]]</f>
        <v>XGO018</v>
      </c>
    </row>
    <row r="20" spans="1:14" ht="57" hidden="1" x14ac:dyDescent="0.2">
      <c r="A20" s="6" t="s">
        <v>976</v>
      </c>
      <c r="B2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0" s="1" t="str">
        <f>VLOOKUP(Avaluacio[[#This Row],[Codi ítem]],Metodologia[[Codi ítem]:[Ítem]],COLUMN(Metodologia[[#Headers],[Ítem]]),FALSE)</f>
        <v>Òrgans de govern i funcions</v>
      </c>
      <c r="D20" t="str">
        <f>VLOOKUP(Avaluacio[[#This Row],[Codi ítem]],Metodologia[[Codi ítem]:[Família]],COLUMN(Metodologia[[#Headers],[Família]]),FALSE)</f>
        <v>Informació institucional i organitzativa</v>
      </c>
      <c r="E20" t="str">
        <f>VLOOKUP(Avaluacio[[#This Row],[Codi ítem]],Metodologia[[Codi ítem]:[Subfamília]],COLUMN(Metodologia[[#Headers],[Subfamília]]),FALSE)</f>
        <v>Organització política i retribucions</v>
      </c>
      <c r="F20" s="6" t="str">
        <f>VLOOKUP(Avaluacio[[#This Row],[Codi ítem]],Metodologia[[Codi ítem]:[Fase]],COLUMN(Metodologia[[#Headers],[Fase]]),FALSE)</f>
        <v>Fase 2</v>
      </c>
      <c r="G20" s="54" t="s">
        <v>620</v>
      </c>
      <c r="H20" s="54" t="s">
        <v>620</v>
      </c>
      <c r="I20" s="55"/>
      <c r="J2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https://municat.gencat.cat/ca/Temes/Transparencia/Items-de-transparencia/1.2.4.Organs-govern-funcions</v>
      </c>
      <c r="M2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1.0163330395686845</v>
      </c>
      <c r="N20" s="8" t="str">
        <f>Avaluacio[[#This Row],[Codi ítem]]</f>
        <v>XGO019</v>
      </c>
    </row>
    <row r="21" spans="1:14" ht="57" hidden="1" x14ac:dyDescent="0.2">
      <c r="A21" s="6" t="s">
        <v>977</v>
      </c>
      <c r="B2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1" s="1" t="str">
        <f>VLOOKUP(Avaluacio[[#This Row],[Codi ítem]],Metodologia[[Codi ítem]:[Ítem]],COLUMN(Metodologia[[#Headers],[Ítem]]),FALSE)</f>
        <v>Alts càrrecs, personal directiu i càrrecs eventuals</v>
      </c>
      <c r="D21" t="str">
        <f>VLOOKUP(Avaluacio[[#This Row],[Codi ítem]],Metodologia[[Codi ítem]:[Família]],COLUMN(Metodologia[[#Headers],[Família]]),FALSE)</f>
        <v>Informació institucional i organitzativa</v>
      </c>
      <c r="E21" t="str">
        <f>VLOOKUP(Avaluacio[[#This Row],[Codi ítem]],Metodologia[[Codi ítem]:[Subfamília]],COLUMN(Metodologia[[#Headers],[Subfamília]]),FALSE)</f>
        <v>Organització política i retribucions</v>
      </c>
      <c r="F21" s="6" t="str">
        <f>VLOOKUP(Avaluacio[[#This Row],[Codi ítem]],Metodologia[[Codi ítem]:[Fase]],COLUMN(Metodologia[[#Headers],[Fase]]),FALSE)</f>
        <v>Fase 2</v>
      </c>
      <c r="G21" s="54" t="s">
        <v>620</v>
      </c>
      <c r="H21" s="54" t="s">
        <v>620</v>
      </c>
      <c r="I21" s="55"/>
      <c r="J2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https://municat.gencat.cat/ca/Temes/Transparencia/Items-de-transparencia/1.2.5.Alts-carrecs-i-carrecs-eventuals</v>
      </c>
      <c r="M2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1.0992215629536073</v>
      </c>
      <c r="N21" s="8" t="str">
        <f>Avaluacio[[#This Row],[Codi ítem]]</f>
        <v>XGO020</v>
      </c>
    </row>
    <row r="22" spans="1:14" ht="120" hidden="1" x14ac:dyDescent="0.2">
      <c r="A22" s="6" t="s">
        <v>978</v>
      </c>
      <c r="B2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2" s="1" t="str">
        <f>VLOOKUP(Avaluacio[[#This Row],[Codi ítem]],Metodologia[[Codi ítem]:[Ítem]],COLUMN(Metodologia[[#Headers],[Ítem]]),FALSE)</f>
        <v>Resolucions relatives a les declaracions d'activitats, patrimonials i d'interessos dels alts càrrecs i del personal directiu</v>
      </c>
      <c r="D22" t="str">
        <f>VLOOKUP(Avaluacio[[#This Row],[Codi ítem]],Metodologia[[Codi ítem]:[Família]],COLUMN(Metodologia[[#Headers],[Família]]),FALSE)</f>
        <v>Informació institucional i organitzativa</v>
      </c>
      <c r="E22" t="str">
        <f>VLOOKUP(Avaluacio[[#This Row],[Codi ítem]],Metodologia[[Codi ítem]:[Subfamília]],COLUMN(Metodologia[[#Headers],[Subfamília]]),FALSE)</f>
        <v>Organització política i retribucions</v>
      </c>
      <c r="F22" s="6" t="str">
        <f>VLOOKUP(Avaluacio[[#This Row],[Codi ítem]],Metodologia[[Codi ítem]:[Fase]],COLUMN(Metodologia[[#Headers],[Fase]]),FALSE)</f>
        <v>Fase 2</v>
      </c>
      <c r="G22" s="54" t="s">
        <v>621</v>
      </c>
      <c r="H22" s="54" t="s">
        <v>621</v>
      </c>
      <c r="I22" s="55"/>
      <c r="J2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2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2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https://municat.gencat.cat/ca/Temes/Transparencia/Items-de-transparencia/1.2.6.Resolucions-declaracions-activitats-patrimonials-interessos</v>
      </c>
      <c r="M2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-3.6063537994608557E-3</v>
      </c>
      <c r="N22" s="8" t="str">
        <f>Avaluacio[[#This Row],[Codi ítem]]</f>
        <v>XGO021</v>
      </c>
    </row>
    <row r="23" spans="1:14" ht="75" hidden="1" x14ac:dyDescent="0.2">
      <c r="A23" s="6" t="s">
        <v>979</v>
      </c>
      <c r="B2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3" s="1" t="str">
        <f>VLOOKUP(Avaluacio[[#This Row],[Codi ítem]],Metodologia[[Codi ítem]:[Ítem]],COLUMN(Metodologia[[#Headers],[Ítem]]),FALSE)</f>
        <v>Resolucions sobre el règim d'incompatibilitats dels alts càrrecs i personal directiu</v>
      </c>
      <c r="D23" t="str">
        <f>VLOOKUP(Avaluacio[[#This Row],[Codi ítem]],Metodologia[[Codi ítem]:[Família]],COLUMN(Metodologia[[#Headers],[Família]]),FALSE)</f>
        <v>Informació institucional i organitzativa</v>
      </c>
      <c r="E23" t="str">
        <f>VLOOKUP(Avaluacio[[#This Row],[Codi ítem]],Metodologia[[Codi ítem]:[Subfamília]],COLUMN(Metodologia[[#Headers],[Subfamília]]),FALSE)</f>
        <v>Organització política i retribucions</v>
      </c>
      <c r="F23" s="6" t="str">
        <f>VLOOKUP(Avaluacio[[#This Row],[Codi ítem]],Metodologia[[Codi ítem]:[Fase]],COLUMN(Metodologia[[#Headers],[Fase]]),FALSE)</f>
        <v>Fase 2</v>
      </c>
      <c r="G23" s="54" t="s">
        <v>621</v>
      </c>
      <c r="H23" s="54" t="s">
        <v>621</v>
      </c>
      <c r="I23" s="55"/>
      <c r="J2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2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2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https://municat.gencat.cat/ca/Temes/Transparencia/Items-de-transparencia/1.2.7.Resolucions-regim-incompatibilitats-alts-carrecs</v>
      </c>
      <c r="M2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-5.5387203800403412E-4</v>
      </c>
      <c r="N23" s="8" t="str">
        <f>Avaluacio[[#This Row],[Codi ítem]]</f>
        <v>XGO022</v>
      </c>
    </row>
    <row r="24" spans="1:14" ht="57" hidden="1" x14ac:dyDescent="0.2">
      <c r="A24" s="6" t="s">
        <v>980</v>
      </c>
      <c r="B2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4" s="1" t="str">
        <f>VLOOKUP(Avaluacio[[#This Row],[Codi ítem]],Metodologia[[Codi ítem]:[Ítem]],COLUMN(Metodologia[[#Headers],[Ítem]]),FALSE)</f>
        <v>Plantilla d'empleats públics</v>
      </c>
      <c r="D24" t="str">
        <f>VLOOKUP(Avaluacio[[#This Row],[Codi ítem]],Metodologia[[Codi ítem]:[Família]],COLUMN(Metodologia[[#Headers],[Família]]),FALSE)</f>
        <v>Informació institucional i organitzativa</v>
      </c>
      <c r="E24" t="str">
        <f>VLOOKUP(Avaluacio[[#This Row],[Codi ítem]],Metodologia[[Codi ítem]:[Subfamília]],COLUMN(Metodologia[[#Headers],[Subfamília]]),FALSE)</f>
        <v>Empleats públics</v>
      </c>
      <c r="F24" s="6" t="str">
        <f>VLOOKUP(Avaluacio[[#This Row],[Codi ítem]],Metodologia[[Codi ítem]:[Fase]],COLUMN(Metodologia[[#Headers],[Fase]]),FALSE)</f>
        <v>Fase 1</v>
      </c>
      <c r="G24" s="54" t="s">
        <v>620</v>
      </c>
      <c r="H24" s="54" t="s">
        <v>620</v>
      </c>
      <c r="I24" s="55"/>
      <c r="J2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https://municat.gencat.cat/ca/Temes/Transparencia/Items-de-transparencia/1.3.1.Plantilla-empleats-publics</v>
      </c>
      <c r="M2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1.0099106688408392</v>
      </c>
      <c r="N24" s="8" t="str">
        <f>Avaluacio[[#This Row],[Codi ítem]]</f>
        <v>XGO023</v>
      </c>
    </row>
    <row r="25" spans="1:14" ht="57" hidden="1" x14ac:dyDescent="0.2">
      <c r="A25" s="6" t="s">
        <v>981</v>
      </c>
      <c r="B2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5" s="1" t="str">
        <f>VLOOKUP(Avaluacio[[#This Row],[Codi ítem]],Metodologia[[Codi ítem]:[Ítem]],COLUMN(Metodologia[[#Headers],[Ítem]]),FALSE)</f>
        <v>Relació de llocs de treball (RLT)</v>
      </c>
      <c r="D25" t="str">
        <f>VLOOKUP(Avaluacio[[#This Row],[Codi ítem]],Metodologia[[Codi ítem]:[Família]],COLUMN(Metodologia[[#Headers],[Família]]),FALSE)</f>
        <v>Informació institucional i organitzativa</v>
      </c>
      <c r="E25" t="str">
        <f>VLOOKUP(Avaluacio[[#This Row],[Codi ítem]],Metodologia[[Codi ítem]:[Subfamília]],COLUMN(Metodologia[[#Headers],[Subfamília]]),FALSE)</f>
        <v>Empleats públics</v>
      </c>
      <c r="F25" s="6" t="str">
        <f>VLOOKUP(Avaluacio[[#This Row],[Codi ítem]],Metodologia[[Codi ítem]:[Fase]],COLUMN(Metodologia[[#Headers],[Fase]]),FALSE)</f>
        <v>Fase 1</v>
      </c>
      <c r="G25" s="54" t="s">
        <v>620</v>
      </c>
      <c r="H25" s="54" t="s">
        <v>620</v>
      </c>
      <c r="I25" s="55"/>
      <c r="J2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https://municat.gencat.cat/ca/Temes/Transparencia/Items-de-transparencia/1.3.2.Relacio-llocs-treball</v>
      </c>
      <c r="M2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1.0143366967029239</v>
      </c>
      <c r="N25" s="8" t="str">
        <f>Avaluacio[[#This Row],[Codi ítem]]</f>
        <v>XGO024</v>
      </c>
    </row>
    <row r="26" spans="1:14" ht="42.75" x14ac:dyDescent="0.2">
      <c r="A26" s="6" t="s">
        <v>982</v>
      </c>
      <c r="B2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6" s="1" t="str">
        <f>VLOOKUP(Avaluacio[[#This Row],[Codi ítem]],Metodologia[[Codi ítem]:[Ítem]],COLUMN(Metodologia[[#Headers],[Ítem]]),FALSE)</f>
        <v>Tècnics de l'ens</v>
      </c>
      <c r="D26" t="str">
        <f>VLOOKUP(Avaluacio[[#This Row],[Codi ítem]],Metodologia[[Codi ítem]:[Família]],COLUMN(Metodologia[[#Headers],[Família]]),FALSE)</f>
        <v>Informació institucional i organitzativa</v>
      </c>
      <c r="E26" t="str">
        <f>VLOOKUP(Avaluacio[[#This Row],[Codi ítem]],Metodologia[[Codi ítem]:[Subfamília]],COLUMN(Metodologia[[#Headers],[Subfamília]]),FALSE)</f>
        <v>Empleats públics</v>
      </c>
      <c r="F26" s="6" t="str">
        <f>VLOOKUP(Avaluacio[[#This Row],[Codi ítem]],Metodologia[[Codi ítem]:[Fase]],COLUMN(Metodologia[[#Headers],[Fase]]),FALSE)</f>
        <v>Fase 5</v>
      </c>
      <c r="G26" s="54" t="s">
        <v>620</v>
      </c>
      <c r="H26" s="54" t="s">
        <v>620</v>
      </c>
      <c r="I26" s="55"/>
      <c r="J2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https://municat.gencat.cat/ca/Temes/Transparencia/Items-de-transparencia/1.3.3.Tecnics-de-lens</v>
      </c>
      <c r="M2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1.0023876232397686</v>
      </c>
      <c r="N26" s="8" t="str">
        <f>Avaluacio[[#This Row],[Codi ítem]]</f>
        <v>XGO025</v>
      </c>
    </row>
    <row r="27" spans="1:14" ht="57" x14ac:dyDescent="0.2">
      <c r="A27" s="6" t="s">
        <v>983</v>
      </c>
      <c r="B2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7" s="1" t="str">
        <f>VLOOKUP(Avaluacio[[#This Row],[Codi ítem]],Metodologia[[Codi ítem]:[Ítem]],COLUMN(Metodologia[[#Headers],[Ítem]]),FALSE)</f>
        <v>Responsable de comunicació/premsa</v>
      </c>
      <c r="D27" t="str">
        <f>VLOOKUP(Avaluacio[[#This Row],[Codi ítem]],Metodologia[[Codi ítem]:[Família]],COLUMN(Metodologia[[#Headers],[Família]]),FALSE)</f>
        <v>Informació institucional i organitzativa</v>
      </c>
      <c r="E27" t="str">
        <f>VLOOKUP(Avaluacio[[#This Row],[Codi ítem]],Metodologia[[Codi ítem]:[Subfamília]],COLUMN(Metodologia[[#Headers],[Subfamília]]),FALSE)</f>
        <v>Empleats públics</v>
      </c>
      <c r="F27" s="6" t="str">
        <f>VLOOKUP(Avaluacio[[#This Row],[Codi ítem]],Metodologia[[Codi ítem]:[Fase]],COLUMN(Metodologia[[#Headers],[Fase]]),FALSE)</f>
        <v>Fase 5</v>
      </c>
      <c r="G27" s="54" t="s">
        <v>620</v>
      </c>
      <c r="H27" s="54" t="s">
        <v>620</v>
      </c>
      <c r="I27" s="55"/>
      <c r="J2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https://municat.gencat.cat/ca/Temes/Transparencia/Items-de-transparencia/1.3.4.Responsable-comunicacio-premsa</v>
      </c>
      <c r="M2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1.0034398740739345</v>
      </c>
      <c r="N27" s="8" t="str">
        <f>Avaluacio[[#This Row],[Codi ítem]]</f>
        <v>XGO026</v>
      </c>
    </row>
    <row r="28" spans="1:14" ht="60" hidden="1" x14ac:dyDescent="0.2">
      <c r="A28" s="6" t="s">
        <v>984</v>
      </c>
      <c r="B2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8" s="1" t="str">
        <f>VLOOKUP(Avaluacio[[#This Row],[Codi ítem]],Metodologia[[Codi ítem]:[Ítem]],COLUMN(Metodologia[[#Headers],[Ítem]]),FALSE)</f>
        <v>Relació de contractes temporals i d'interinatge</v>
      </c>
      <c r="D28" t="str">
        <f>VLOOKUP(Avaluacio[[#This Row],[Codi ítem]],Metodologia[[Codi ítem]:[Família]],COLUMN(Metodologia[[#Headers],[Família]]),FALSE)</f>
        <v>Informació institucional i organitzativa</v>
      </c>
      <c r="E28" t="str">
        <f>VLOOKUP(Avaluacio[[#This Row],[Codi ítem]],Metodologia[[Codi ítem]:[Subfamília]],COLUMN(Metodologia[[#Headers],[Subfamília]]),FALSE)</f>
        <v>Empleats públics</v>
      </c>
      <c r="F28" s="6" t="str">
        <f>VLOOKUP(Avaluacio[[#This Row],[Codi ítem]],Metodologia[[Codi ítem]:[Fase]],COLUMN(Metodologia[[#Headers],[Fase]]),FALSE)</f>
        <v>Fase 4</v>
      </c>
      <c r="G28" s="54" t="s">
        <v>620</v>
      </c>
      <c r="H28" s="54" t="s">
        <v>620</v>
      </c>
      <c r="I28" s="55"/>
      <c r="J2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2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2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https://municat.gencat.cat/ca/Temes/Transparencia/Items-de-transparencia/1.3.5.Relacio-contractes-temporals-interinatge</v>
      </c>
      <c r="M2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1.0018447084660773</v>
      </c>
      <c r="N28" s="8" t="str">
        <f>Avaluacio[[#This Row],[Codi ítem]]</f>
        <v>XGO027</v>
      </c>
    </row>
    <row r="29" spans="1:14" ht="60" hidden="1" x14ac:dyDescent="0.2">
      <c r="A29" s="6" t="s">
        <v>985</v>
      </c>
      <c r="B2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29" s="1" t="str">
        <f>VLOOKUP(Avaluacio[[#This Row],[Codi ítem]],Metodologia[[Codi ítem]:[Ítem]],COLUMN(Metodologia[[#Headers],[Ítem]]),FALSE)</f>
        <v>Retribucions, indemnitzacions i dietes dels empleats públics</v>
      </c>
      <c r="D29" t="str">
        <f>VLOOKUP(Avaluacio[[#This Row],[Codi ítem]],Metodologia[[Codi ítem]:[Família]],COLUMN(Metodologia[[#Headers],[Família]]),FALSE)</f>
        <v>Informació institucional i organitzativa</v>
      </c>
      <c r="E29" t="str">
        <f>VLOOKUP(Avaluacio[[#This Row],[Codi ítem]],Metodologia[[Codi ítem]:[Subfamília]],COLUMN(Metodologia[[#Headers],[Subfamília]]),FALSE)</f>
        <v>Empleats públics</v>
      </c>
      <c r="F29" s="6" t="str">
        <f>VLOOKUP(Avaluacio[[#This Row],[Codi ítem]],Metodologia[[Codi ítem]:[Fase]],COLUMN(Metodologia[[#Headers],[Fase]]),FALSE)</f>
        <v>Fase 2</v>
      </c>
      <c r="G29" s="54" t="s">
        <v>621</v>
      </c>
      <c r="H29" s="54" t="s">
        <v>621</v>
      </c>
      <c r="I29" s="55"/>
      <c r="J2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2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2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https://municat.gencat.cat/ca/Temes/Transparencia/Items-de-transparencia/1.3.6.Retribucions-empleats-publics</v>
      </c>
      <c r="M2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-2.5368187644918657E-2</v>
      </c>
      <c r="N29" s="8" t="str">
        <f>Avaluacio[[#This Row],[Codi ítem]]</f>
        <v>XGO028</v>
      </c>
    </row>
    <row r="30" spans="1:14" ht="57" hidden="1" x14ac:dyDescent="0.2">
      <c r="A30" s="6" t="s">
        <v>986</v>
      </c>
      <c r="B3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0" s="1" t="str">
        <f>VLOOKUP(Avaluacio[[#This Row],[Codi ítem]],Metodologia[[Codi ítem]:[Ítem]],COLUMN(Metodologia[[#Headers],[Ítem]]),FALSE)</f>
        <v>Convocatòries de personal</v>
      </c>
      <c r="D30" t="str">
        <f>VLOOKUP(Avaluacio[[#This Row],[Codi ítem]],Metodologia[[Codi ítem]:[Família]],COLUMN(Metodologia[[#Headers],[Família]]),FALSE)</f>
        <v>Informació institucional i organitzativa</v>
      </c>
      <c r="E30" t="str">
        <f>VLOOKUP(Avaluacio[[#This Row],[Codi ítem]],Metodologia[[Codi ítem]:[Subfamília]],COLUMN(Metodologia[[#Headers],[Subfamília]]),FALSE)</f>
        <v>Empleats públics</v>
      </c>
      <c r="F30" s="6" t="str">
        <f>VLOOKUP(Avaluacio[[#This Row],[Codi ítem]],Metodologia[[Codi ítem]:[Fase]],COLUMN(Metodologia[[#Headers],[Fase]]),FALSE)</f>
        <v>Fase 1</v>
      </c>
      <c r="G30" s="54" t="s">
        <v>620</v>
      </c>
      <c r="H30" s="54" t="s">
        <v>620</v>
      </c>
      <c r="I30" s="55"/>
      <c r="J3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https://municat.gencat.cat/ca/Temes/Transparencia/Items-de-transparencia/1.3.7.Convocatories-personal</v>
      </c>
      <c r="M3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1.1449670810790431</v>
      </c>
      <c r="N30" s="8" t="str">
        <f>Avaluacio[[#This Row],[Codi ítem]]</f>
        <v>XGO029</v>
      </c>
    </row>
    <row r="31" spans="1:14" ht="57" hidden="1" x14ac:dyDescent="0.2">
      <c r="A31" s="6" t="s">
        <v>987</v>
      </c>
      <c r="B3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1" s="1" t="str">
        <f>VLOOKUP(Avaluacio[[#This Row],[Codi ítem]],Metodologia[[Codi ítem]:[Ítem]],COLUMN(Metodologia[[#Headers],[Ítem]]),FALSE)</f>
        <v>Resultats de les convocatòries de personal</v>
      </c>
      <c r="D31" t="str">
        <f>VLOOKUP(Avaluacio[[#This Row],[Codi ítem]],Metodologia[[Codi ítem]:[Família]],COLUMN(Metodologia[[#Headers],[Família]]),FALSE)</f>
        <v>Informació institucional i organitzativa</v>
      </c>
      <c r="E31" t="str">
        <f>VLOOKUP(Avaluacio[[#This Row],[Codi ítem]],Metodologia[[Codi ítem]:[Subfamília]],COLUMN(Metodologia[[#Headers],[Subfamília]]),FALSE)</f>
        <v>Empleats públics</v>
      </c>
      <c r="F31" s="6" t="str">
        <f>VLOOKUP(Avaluacio[[#This Row],[Codi ítem]],Metodologia[[Codi ítem]:[Fase]],COLUMN(Metodologia[[#Headers],[Fase]]),FALSE)</f>
        <v>Fase 1</v>
      </c>
      <c r="G31" s="54" t="s">
        <v>620</v>
      </c>
      <c r="H31" s="54" t="s">
        <v>620</v>
      </c>
      <c r="I31" s="55"/>
      <c r="J3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https://municat.gencat.cat/ca/Temes/Transparencia/Items-de-transparencia/1.3.8.Resultats-convocatories-personal</v>
      </c>
      <c r="M3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1.0114909891228534</v>
      </c>
      <c r="N31" s="8" t="str">
        <f>Avaluacio[[#This Row],[Codi ítem]]</f>
        <v>XGO030</v>
      </c>
    </row>
    <row r="32" spans="1:14" ht="75" hidden="1" x14ac:dyDescent="0.2">
      <c r="A32" s="6" t="s">
        <v>988</v>
      </c>
      <c r="B3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2" s="1" t="str">
        <f>VLOOKUP(Avaluacio[[#This Row],[Codi ítem]],Metodologia[[Codi ítem]:[Ítem]],COLUMN(Metodologia[[#Headers],[Ítem]]),FALSE)</f>
        <v>Llistes de personal per cada procés de formació i/o promoció</v>
      </c>
      <c r="D32" t="str">
        <f>VLOOKUP(Avaluacio[[#This Row],[Codi ítem]],Metodologia[[Codi ítem]:[Família]],COLUMN(Metodologia[[#Headers],[Família]]),FALSE)</f>
        <v>Informació institucional i organitzativa</v>
      </c>
      <c r="E32" t="str">
        <f>VLOOKUP(Avaluacio[[#This Row],[Codi ítem]],Metodologia[[Codi ítem]:[Subfamília]],COLUMN(Metodologia[[#Headers],[Subfamília]]),FALSE)</f>
        <v>Empleats públics</v>
      </c>
      <c r="F32" s="6" t="str">
        <f>VLOOKUP(Avaluacio[[#This Row],[Codi ítem]],Metodologia[[Codi ítem]:[Fase]],COLUMN(Metodologia[[#Headers],[Fase]]),FALSE)</f>
        <v>Fase 4</v>
      </c>
      <c r="G32" s="54" t="s">
        <v>621</v>
      </c>
      <c r="H32" s="54" t="s">
        <v>621</v>
      </c>
      <c r="I32" s="55"/>
      <c r="J3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3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3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https://municat.gencat.cat/ca/Temes/Transparencia/Items-de-transparencia/1.3.9.Llistes-de-personal-per-cada-proces-formacio-promocio</v>
      </c>
      <c r="M3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-1.0872433879389974E-3</v>
      </c>
      <c r="N32" s="8" t="str">
        <f>Avaluacio[[#This Row],[Codi ítem]]</f>
        <v>XGO031</v>
      </c>
    </row>
    <row r="33" spans="1:14" ht="75" hidden="1" x14ac:dyDescent="0.2">
      <c r="A33" s="6" t="s">
        <v>989</v>
      </c>
      <c r="B3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3" s="1" t="str">
        <f>VLOOKUP(Avaluacio[[#This Row],[Codi ítem]],Metodologia[[Codi ítem]:[Ítem]],COLUMN(Metodologia[[#Headers],[Ítem]]),FALSE)</f>
        <v>Convenis, acords, pactes de caràcter funcionarial, laboral o sindical</v>
      </c>
      <c r="D33" t="str">
        <f>VLOOKUP(Avaluacio[[#This Row],[Codi ítem]],Metodologia[[Codi ítem]:[Família]],COLUMN(Metodologia[[#Headers],[Família]]),FALSE)</f>
        <v>Informació institucional i organitzativa</v>
      </c>
      <c r="E33" t="str">
        <f>VLOOKUP(Avaluacio[[#This Row],[Codi ítem]],Metodologia[[Codi ítem]:[Subfamília]],COLUMN(Metodologia[[#Headers],[Subfamília]]),FALSE)</f>
        <v>Empleats públics</v>
      </c>
      <c r="F33" s="6" t="str">
        <f>VLOOKUP(Avaluacio[[#This Row],[Codi ítem]],Metodologia[[Codi ítem]:[Fase]],COLUMN(Metodologia[[#Headers],[Fase]]),FALSE)</f>
        <v>Fase 1</v>
      </c>
      <c r="G33" s="54" t="s">
        <v>621</v>
      </c>
      <c r="H33" s="54" t="s">
        <v>621</v>
      </c>
      <c r="I33" s="55"/>
      <c r="J3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3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3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https://municat.gencat.cat/ca/Temes/Transparencia/Items-de-transparencia/1.3.10.Convenis-funcionarials-laborals-sindicals</v>
      </c>
      <c r="M3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-5.0452900258261537E-3</v>
      </c>
      <c r="N33" s="8" t="str">
        <f>Avaluacio[[#This Row],[Codi ítem]]</f>
        <v>XGO032</v>
      </c>
    </row>
    <row r="34" spans="1:14" ht="57" hidden="1" x14ac:dyDescent="0.2">
      <c r="A34" s="6" t="s">
        <v>990</v>
      </c>
      <c r="B3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4" s="1" t="str">
        <f>VLOOKUP(Avaluacio[[#This Row],[Codi ítem]],Metodologia[[Codi ítem]:[Ítem]],COLUMN(Metodologia[[#Headers],[Ítem]]),FALSE)</f>
        <v>Alliberats sindicals</v>
      </c>
      <c r="D34" t="str">
        <f>VLOOKUP(Avaluacio[[#This Row],[Codi ítem]],Metodologia[[Codi ítem]:[Família]],COLUMN(Metodologia[[#Headers],[Família]]),FALSE)</f>
        <v>Informació institucional i organitzativa</v>
      </c>
      <c r="E34" t="str">
        <f>VLOOKUP(Avaluacio[[#This Row],[Codi ítem]],Metodologia[[Codi ítem]:[Subfamília]],COLUMN(Metodologia[[#Headers],[Subfamília]]),FALSE)</f>
        <v>Empleats públics</v>
      </c>
      <c r="F34" s="6" t="str">
        <f>VLOOKUP(Avaluacio[[#This Row],[Codi ítem]],Metodologia[[Codi ítem]:[Fase]],COLUMN(Metodologia[[#Headers],[Fase]]),FALSE)</f>
        <v>Fase 2</v>
      </c>
      <c r="G34" s="54" t="s">
        <v>620</v>
      </c>
      <c r="H34" s="54" t="s">
        <v>620</v>
      </c>
      <c r="I34" s="55"/>
      <c r="J3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https://municat.gencat.cat/ca/Temes/Transparencia/Items-de-transparencia/1.3.11.Alliberats-sindicals</v>
      </c>
      <c r="M3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1.0004139018229117</v>
      </c>
      <c r="N34" s="8" t="str">
        <f>Avaluacio[[#This Row],[Codi ítem]]</f>
        <v>XGO033</v>
      </c>
    </row>
    <row r="35" spans="1:14" ht="75" hidden="1" x14ac:dyDescent="0.2">
      <c r="A35" s="6" t="s">
        <v>991</v>
      </c>
      <c r="B3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5" s="1" t="str">
        <f>VLOOKUP(Avaluacio[[#This Row],[Codi ítem]],Metodologia[[Codi ítem]:[Ítem]],COLUMN(Metodologia[[#Headers],[Ítem]]),FALSE)</f>
        <v>Resolucions sobre el règim d'incompatibilitats dels empleats públics</v>
      </c>
      <c r="D35" t="str">
        <f>VLOOKUP(Avaluacio[[#This Row],[Codi ítem]],Metodologia[[Codi ítem]:[Família]],COLUMN(Metodologia[[#Headers],[Família]]),FALSE)</f>
        <v>Informació institucional i organitzativa</v>
      </c>
      <c r="E35" t="str">
        <f>VLOOKUP(Avaluacio[[#This Row],[Codi ítem]],Metodologia[[Codi ítem]:[Subfamília]],COLUMN(Metodologia[[#Headers],[Subfamília]]),FALSE)</f>
        <v>Empleats públics</v>
      </c>
      <c r="F35" s="6" t="str">
        <f>VLOOKUP(Avaluacio[[#This Row],[Codi ítem]],Metodologia[[Codi ítem]:[Fase]],COLUMN(Metodologia[[#Headers],[Fase]]),FALSE)</f>
        <v>Fase 4</v>
      </c>
      <c r="G35" s="54" t="s">
        <v>621</v>
      </c>
      <c r="H35" s="54" t="s">
        <v>621</v>
      </c>
      <c r="I35" s="55"/>
      <c r="J3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3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3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https://municat.gencat.cat/ca/Temes/Transparencia/Items-de-transparencia/1.3.12.Resolucions-regim-incompatibilitats-empleats-publics</v>
      </c>
      <c r="M3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-1.4149009369050086E-3</v>
      </c>
      <c r="N35" s="8" t="str">
        <f>Avaluacio[[#This Row],[Codi ítem]]</f>
        <v>XGO034</v>
      </c>
    </row>
    <row r="36" spans="1:14" ht="57" hidden="1" x14ac:dyDescent="0.2">
      <c r="A36" s="6" t="s">
        <v>992</v>
      </c>
      <c r="B3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6" s="1" t="str">
        <f>VLOOKUP(Avaluacio[[#This Row],[Codi ítem]],Metodologia[[Codi ítem]:[Ítem]],COLUMN(Metodologia[[#Headers],[Ítem]]),FALSE)</f>
        <v>Delegat/da de Protecció de Dades</v>
      </c>
      <c r="D36" t="str">
        <f>VLOOKUP(Avaluacio[[#This Row],[Codi ítem]],Metodologia[[Codi ítem]:[Família]],COLUMN(Metodologia[[#Headers],[Família]]),FALSE)</f>
        <v>Informació institucional i organitzativa</v>
      </c>
      <c r="E36" t="str">
        <f>VLOOKUP(Avaluacio[[#This Row],[Codi ítem]],Metodologia[[Codi ítem]:[Subfamília]],COLUMN(Metodologia[[#Headers],[Subfamília]]),FALSE)</f>
        <v>Protecció de dades personals</v>
      </c>
      <c r="F36" s="6" t="str">
        <f>VLOOKUP(Avaluacio[[#This Row],[Codi ítem]],Metodologia[[Codi ítem]:[Fase]],COLUMN(Metodologia[[#Headers],[Fase]]),FALSE)</f>
        <v>Fase 4</v>
      </c>
      <c r="G36" s="54" t="s">
        <v>620</v>
      </c>
      <c r="H36" s="54" t="s">
        <v>620</v>
      </c>
      <c r="I36" s="55"/>
      <c r="J3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https://municat.gencat.cat/ca/Temes/Transparencia/Items-de-transparencia/1.4.1.Delegat-proteccio-dades</v>
      </c>
      <c r="M3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1.0008348728486061</v>
      </c>
      <c r="N36" s="8" t="str">
        <f>Avaluacio[[#This Row],[Codi ítem]]</f>
        <v>XGO035</v>
      </c>
    </row>
    <row r="37" spans="1:14" ht="60" x14ac:dyDescent="0.2">
      <c r="A37" s="6" t="s">
        <v>993</v>
      </c>
      <c r="B3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7" s="1" t="str">
        <f>VLOOKUP(Avaluacio[[#This Row],[Codi ítem]],Metodologia[[Codi ítem]:[Ítem]],COLUMN(Metodologia[[#Headers],[Ítem]]),FALSE)</f>
        <v>Exercici dels drets relatius a la protecció de dades personals</v>
      </c>
      <c r="D37" t="str">
        <f>VLOOKUP(Avaluacio[[#This Row],[Codi ítem]],Metodologia[[Codi ítem]:[Família]],COLUMN(Metodologia[[#Headers],[Família]]),FALSE)</f>
        <v>Informació institucional i organitzativa</v>
      </c>
      <c r="E37" t="str">
        <f>VLOOKUP(Avaluacio[[#This Row],[Codi ítem]],Metodologia[[Codi ítem]:[Subfamília]],COLUMN(Metodologia[[#Headers],[Subfamília]]),FALSE)</f>
        <v>Protecció de dades personals</v>
      </c>
      <c r="F37" s="6" t="str">
        <f>VLOOKUP(Avaluacio[[#This Row],[Codi ítem]],Metodologia[[Codi ítem]:[Fase]],COLUMN(Metodologia[[#Headers],[Fase]]),FALSE)</f>
        <v>Fase 5</v>
      </c>
      <c r="G37" s="54" t="s">
        <v>620</v>
      </c>
      <c r="H37" s="54" t="s">
        <v>620</v>
      </c>
      <c r="I37" s="55"/>
      <c r="J3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https://municat.gencat.cat/ca/Temes/Transparencia/Items-de-transparencia/1.4.2.Exercici-drets-proteccio-dades</v>
      </c>
      <c r="M3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1.0016100109337003</v>
      </c>
      <c r="N37" s="8" t="str">
        <f>Avaluacio[[#This Row],[Codi ítem]]</f>
        <v>XGO036</v>
      </c>
    </row>
    <row r="38" spans="1:14" ht="71.25" hidden="1" x14ac:dyDescent="0.2">
      <c r="A38" s="6" t="s">
        <v>994</v>
      </c>
      <c r="B3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8" s="1" t="str">
        <f>VLOOKUP(Avaluacio[[#This Row],[Codi ítem]],Metodologia[[Codi ítem]:[Ítem]],COLUMN(Metodologia[[#Headers],[Ítem]]),FALSE)</f>
        <v>Registre de les activitats de tractament de dades personals</v>
      </c>
      <c r="D38" t="str">
        <f>VLOOKUP(Avaluacio[[#This Row],[Codi ítem]],Metodologia[[Codi ítem]:[Família]],COLUMN(Metodologia[[#Headers],[Família]]),FALSE)</f>
        <v>Informació institucional i organitzativa</v>
      </c>
      <c r="E38" t="str">
        <f>VLOOKUP(Avaluacio[[#This Row],[Codi ítem]],Metodologia[[Codi ítem]:[Subfamília]],COLUMN(Metodologia[[#Headers],[Subfamília]]),FALSE)</f>
        <v>Protecció de dades personals</v>
      </c>
      <c r="F38" s="6" t="str">
        <f>VLOOKUP(Avaluacio[[#This Row],[Codi ítem]],Metodologia[[Codi ítem]:[Fase]],COLUMN(Metodologia[[#Headers],[Fase]]),FALSE)</f>
        <v>Fase 3</v>
      </c>
      <c r="G38" s="54" t="s">
        <v>620</v>
      </c>
      <c r="H38" s="54" t="s">
        <v>620</v>
      </c>
      <c r="I38" s="55"/>
      <c r="J3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https://municat.gencat.cat/ca/Temes/Transparencia/Items-de-transparencia/1.4.3.Registre-activitats-tractament-dades-personals</v>
      </c>
      <c r="M3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1.0010151375195582</v>
      </c>
      <c r="N38" s="8" t="str">
        <f>Avaluacio[[#This Row],[Codi ítem]]</f>
        <v>XGO037</v>
      </c>
    </row>
    <row r="39" spans="1:14" ht="57" x14ac:dyDescent="0.2">
      <c r="A39" s="6" t="s">
        <v>1098</v>
      </c>
      <c r="B3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39" s="1" t="str">
        <f>VLOOKUP(Avaluacio[[#This Row],[Codi ítem]],Metodologia[[Codi ítem]:[Ítem]],COLUMN(Metodologia[[#Headers],[Ítem]]),FALSE)</f>
        <v>Sistema d'Integritat Institucional</v>
      </c>
      <c r="D39" t="str">
        <f>VLOOKUP(Avaluacio[[#This Row],[Codi ítem]],Metodologia[[Codi ítem]:[Família]],COLUMN(Metodologia[[#Headers],[Família]]),FALSE)</f>
        <v>Informació institucional i organitzativa</v>
      </c>
      <c r="E39" t="str">
        <f>VLOOKUP(Avaluacio[[#This Row],[Codi ítem]],Metodologia[[Codi ítem]:[Subfamília]],COLUMN(Metodologia[[#Headers],[Subfamília]]),FALSE)</f>
        <v>Bon Govern i Integritat Pública</v>
      </c>
      <c r="F39" s="6" t="str">
        <f>VLOOKUP(Avaluacio[[#This Row],[Codi ítem]],Metodologia[[Codi ítem]:[Fase]],COLUMN(Metodologia[[#Headers],[Fase]]),FALSE)</f>
        <v>Fase 5</v>
      </c>
      <c r="G39" s="54" t="s">
        <v>620</v>
      </c>
      <c r="H39" s="54" t="s">
        <v>620</v>
      </c>
      <c r="I39" s="55"/>
      <c r="J3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3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3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https://municat.gencat.cat/ca/Temes/Transparencia/Items-de-transparencia/1.5.1Fitxa-sistema-integritat-institucional</v>
      </c>
      <c r="M3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39" s="8" t="str">
        <f>Avaluacio[[#This Row],[Codi ítem]]</f>
        <v>XGO038</v>
      </c>
    </row>
    <row r="40" spans="1:14" ht="57" hidden="1" x14ac:dyDescent="0.2">
      <c r="A40" s="6" t="s">
        <v>1099</v>
      </c>
      <c r="B4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0" s="1" t="str">
        <f>VLOOKUP(Avaluacio[[#This Row],[Codi ítem]],Metodologia[[Codi ítem]:[Ítem]],COLUMN(Metodologia[[#Headers],[Ítem]]),FALSE)</f>
        <v>Pla de mesures antifrau</v>
      </c>
      <c r="D40" t="str">
        <f>VLOOKUP(Avaluacio[[#This Row],[Codi ítem]],Metodologia[[Codi ítem]:[Família]],COLUMN(Metodologia[[#Headers],[Família]]),FALSE)</f>
        <v>Informació institucional i organitzativa</v>
      </c>
      <c r="E40" t="str">
        <f>VLOOKUP(Avaluacio[[#This Row],[Codi ítem]],Metodologia[[Codi ítem]:[Subfamília]],COLUMN(Metodologia[[#Headers],[Subfamília]]),FALSE)</f>
        <v>Bon Govern i Integritat Pública</v>
      </c>
      <c r="F40" s="6" t="str">
        <f>VLOOKUP(Avaluacio[[#This Row],[Codi ítem]],Metodologia[[Codi ítem]:[Fase]],COLUMN(Metodologia[[#Headers],[Fase]]),FALSE)</f>
        <v>Fase 1</v>
      </c>
      <c r="G40" s="54" t="s">
        <v>620</v>
      </c>
      <c r="H40" s="54" t="s">
        <v>620</v>
      </c>
      <c r="I40" s="55"/>
      <c r="J4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https://municat.gencat.cat/ca/Temes/Transparencia/Items-de-transparencia/1.5.2Pla-de-mesures-antifrau</v>
      </c>
      <c r="M4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0" s="8" t="str">
        <f>Avaluacio[[#This Row],[Codi ítem]]</f>
        <v>XGO039</v>
      </c>
    </row>
    <row r="41" spans="1:14" ht="105" x14ac:dyDescent="0.2">
      <c r="A41" s="6" t="s">
        <v>1100</v>
      </c>
      <c r="B4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1" s="1" t="str">
        <f>VLOOKUP(Avaluacio[[#This Row],[Codi ítem]],Metodologia[[Codi ítem]:[Ítem]],COLUMN(Metodologia[[#Headers],[Ítem]]),FALSE)</f>
        <v>Declaració institucional d’impuls de la política d’integritat i de lluita contra el frau</v>
      </c>
      <c r="D41" t="str">
        <f>VLOOKUP(Avaluacio[[#This Row],[Codi ítem]],Metodologia[[Codi ítem]:[Família]],COLUMN(Metodologia[[#Headers],[Família]]),FALSE)</f>
        <v>Informació institucional i organitzativa</v>
      </c>
      <c r="E41" t="str">
        <f>VLOOKUP(Avaluacio[[#This Row],[Codi ítem]],Metodologia[[Codi ítem]:[Subfamília]],COLUMN(Metodologia[[#Headers],[Subfamília]]),FALSE)</f>
        <v>Bon Govern i Integritat Pública</v>
      </c>
      <c r="F41" s="6" t="str">
        <f>VLOOKUP(Avaluacio[[#This Row],[Codi ítem]],Metodologia[[Codi ítem]:[Fase]],COLUMN(Metodologia[[#Headers],[Fase]]),FALSE)</f>
        <v>Fase 5</v>
      </c>
      <c r="G41" s="54" t="s">
        <v>620</v>
      </c>
      <c r="H41" s="54" t="s">
        <v>620</v>
      </c>
      <c r="I41" s="55"/>
      <c r="J4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https://municat.gencat.cat/ca/Temes/Transparencia/Items-de-transparencia/1.5.3Declaracio-institucional</v>
      </c>
      <c r="M4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1" s="8" t="str">
        <f>Avaluacio[[#This Row],[Codi ítem]]</f>
        <v>XGO040</v>
      </c>
    </row>
    <row r="42" spans="1:14" ht="57" hidden="1" x14ac:dyDescent="0.2">
      <c r="A42" s="6" t="s">
        <v>1101</v>
      </c>
      <c r="B4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2" s="1" t="str">
        <f>VLOOKUP(Avaluacio[[#This Row],[Codi ítem]],Metodologia[[Codi ítem]:[Ítem]],COLUMN(Metodologia[[#Headers],[Ítem]]),FALSE)</f>
        <v>Canals d’alertes i sistema intern d’alertes (SIA)</v>
      </c>
      <c r="D42" t="str">
        <f>VLOOKUP(Avaluacio[[#This Row],[Codi ítem]],Metodologia[[Codi ítem]:[Família]],COLUMN(Metodologia[[#Headers],[Família]]),FALSE)</f>
        <v>Informació institucional i organitzativa</v>
      </c>
      <c r="E42" t="str">
        <f>VLOOKUP(Avaluacio[[#This Row],[Codi ítem]],Metodologia[[Codi ítem]:[Subfamília]],COLUMN(Metodologia[[#Headers],[Subfamília]]),FALSE)</f>
        <v>Bon Govern i Integritat Pública</v>
      </c>
      <c r="F42" s="6" t="str">
        <f>VLOOKUP(Avaluacio[[#This Row],[Codi ítem]],Metodologia[[Codi ítem]:[Fase]],COLUMN(Metodologia[[#Headers],[Fase]]),FALSE)</f>
        <v>Fase 1</v>
      </c>
      <c r="G42" s="54" t="s">
        <v>620</v>
      </c>
      <c r="H42" s="54" t="s">
        <v>620</v>
      </c>
      <c r="I42" s="55"/>
      <c r="J4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https://municat.gencat.cat/ca/Temes/Transparencia/Items-de-transparencia/1.5.4canal-alertes-sistema-intern-alertes-sia</v>
      </c>
      <c r="M4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2" s="8" t="str">
        <f>Avaluacio[[#This Row],[Codi ítem]]</f>
        <v>XGO041</v>
      </c>
    </row>
    <row r="43" spans="1:14" ht="57" hidden="1" x14ac:dyDescent="0.2">
      <c r="A43" s="6" t="s">
        <v>1094</v>
      </c>
      <c r="B4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3" s="1" t="str">
        <f>VLOOKUP(Avaluacio[[#This Row],[Codi ítem]],Metodologia[[Codi ítem]:[Ítem]],COLUMN(Metodologia[[#Headers],[Ítem]]),FALSE)</f>
        <v>Registre de grups d'interès</v>
      </c>
      <c r="D43" t="str">
        <f>VLOOKUP(Avaluacio[[#This Row],[Codi ítem]],Metodologia[[Codi ítem]:[Família]],COLUMN(Metodologia[[#Headers],[Família]]),FALSE)</f>
        <v>Informació institucional i organitzativa</v>
      </c>
      <c r="E43" t="str">
        <f>VLOOKUP(Avaluacio[[#This Row],[Codi ítem]],Metodologia[[Codi ítem]:[Subfamília]],COLUMN(Metodologia[[#Headers],[Subfamília]]),FALSE)</f>
        <v>Bon Govern i Integritat Pública</v>
      </c>
      <c r="F43" s="6" t="str">
        <f>VLOOKUP(Avaluacio[[#This Row],[Codi ítem]],Metodologia[[Codi ítem]:[Fase]],COLUMN(Metodologia[[#Headers],[Fase]]),FALSE)</f>
        <v>Fase 1</v>
      </c>
      <c r="G43" s="54" t="s">
        <v>620</v>
      </c>
      <c r="H43" s="54" t="s">
        <v>620</v>
      </c>
      <c r="I43" s="55"/>
      <c r="J4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https://municat.gencat.cat/ca/Temes/Transparencia/Items-de-transparencia/1.5.5.Registre-grups-interes</v>
      </c>
      <c r="M4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1.0004877749919883</v>
      </c>
      <c r="N43" s="8" t="str">
        <f>Avaluacio[[#This Row],[Codi ítem]]</f>
        <v>XGO042</v>
      </c>
    </row>
    <row r="44" spans="1:14" ht="57" hidden="1" x14ac:dyDescent="0.2">
      <c r="A44" s="6" t="s">
        <v>1097</v>
      </c>
      <c r="B4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4" s="1" t="str">
        <f>VLOOKUP(Avaluacio[[#This Row],[Codi ítem]],Metodologia[[Codi ítem]:[Ítem]],COLUMN(Metodologia[[#Headers],[Ítem]]),FALSE)</f>
        <v>Codi de conducta dels grups d'interès</v>
      </c>
      <c r="D44" t="str">
        <f>VLOOKUP(Avaluacio[[#This Row],[Codi ítem]],Metodologia[[Codi ítem]:[Família]],COLUMN(Metodologia[[#Headers],[Família]]),FALSE)</f>
        <v>Informació institucional i organitzativa</v>
      </c>
      <c r="E44" t="str">
        <f>VLOOKUP(Avaluacio[[#This Row],[Codi ítem]],Metodologia[[Codi ítem]:[Subfamília]],COLUMN(Metodologia[[#Headers],[Subfamília]]),FALSE)</f>
        <v>Bon Govern i Integritat Pública</v>
      </c>
      <c r="F44" s="6" t="str">
        <f>VLOOKUP(Avaluacio[[#This Row],[Codi ítem]],Metodologia[[Codi ítem]:[Fase]],COLUMN(Metodologia[[#Headers],[Fase]]),FALSE)</f>
        <v>Fase 1</v>
      </c>
      <c r="G44" s="54" t="s">
        <v>620</v>
      </c>
      <c r="H44" s="54" t="s">
        <v>620</v>
      </c>
      <c r="I44" s="55"/>
      <c r="J4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https://municat.gencat.cat/ca/Temes/Transparencia/Items-de-transparencia/1.5.5.Registre-grups-interes</v>
      </c>
      <c r="M4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1.0001541086206571</v>
      </c>
      <c r="N44" s="8" t="str">
        <f>Avaluacio[[#This Row],[Codi ítem]]</f>
        <v>XGO043</v>
      </c>
    </row>
    <row r="45" spans="1:14" ht="57" x14ac:dyDescent="0.2">
      <c r="A45" s="6" t="s">
        <v>1102</v>
      </c>
      <c r="B4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5" s="1" t="str">
        <f>VLOOKUP(Avaluacio[[#This Row],[Codi ítem]],Metodologia[[Codi ítem]:[Ítem]],COLUMN(Metodologia[[#Headers],[Ítem]]),FALSE)</f>
        <v>Comissió antifrau</v>
      </c>
      <c r="D45" t="str">
        <f>VLOOKUP(Avaluacio[[#This Row],[Codi ítem]],Metodologia[[Codi ítem]:[Família]],COLUMN(Metodologia[[#Headers],[Família]]),FALSE)</f>
        <v>Informació institucional i organitzativa</v>
      </c>
      <c r="E45" t="str">
        <f>VLOOKUP(Avaluacio[[#This Row],[Codi ítem]],Metodologia[[Codi ítem]:[Subfamília]],COLUMN(Metodologia[[#Headers],[Subfamília]]),FALSE)</f>
        <v>Bon Govern i Integritat Pública</v>
      </c>
      <c r="F45" s="6" t="str">
        <f>VLOOKUP(Avaluacio[[#This Row],[Codi ítem]],Metodologia[[Codi ítem]:[Fase]],COLUMN(Metodologia[[#Headers],[Fase]]),FALSE)</f>
        <v>Fase 5</v>
      </c>
      <c r="G45" s="54" t="s">
        <v>620</v>
      </c>
      <c r="H45" s="54" t="s">
        <v>620</v>
      </c>
      <c r="I45" s="55"/>
      <c r="J4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https://municat.gencat.cat/ca/Temes/Transparencia/Items-de-transparencia/1.5.6Comissio-antifrau</v>
      </c>
      <c r="M4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45" s="8" t="str">
        <f>Avaluacio[[#This Row],[Codi ítem]]</f>
        <v>XGO044</v>
      </c>
    </row>
    <row r="46" spans="1:14" ht="57" hidden="1" x14ac:dyDescent="0.2">
      <c r="A46" s="6" t="s">
        <v>962</v>
      </c>
      <c r="B4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6" s="1" t="str">
        <f>VLOOKUP(Avaluacio[[#This Row],[Codi ítem]],Metodologia[[Codi ítem]:[Ítem]],COLUMN(Metodologia[[#Headers],[Ítem]]),FALSE)</f>
        <v>Codi de conducta dels alts càrrecs i de bon govern</v>
      </c>
      <c r="D46" t="str">
        <f>VLOOKUP(Avaluacio[[#This Row],[Codi ítem]],Metodologia[[Codi ítem]:[Família]],COLUMN(Metodologia[[#Headers],[Família]]),FALSE)</f>
        <v>Informació institucional i organitzativa</v>
      </c>
      <c r="E46" t="str">
        <f>VLOOKUP(Avaluacio[[#This Row],[Codi ítem]],Metodologia[[Codi ítem]:[Subfamília]],COLUMN(Metodologia[[#Headers],[Subfamília]]),FALSE)</f>
        <v>Bon Govern i Integritat Pública</v>
      </c>
      <c r="F46" s="6" t="str">
        <f>VLOOKUP(Avaluacio[[#This Row],[Codi ítem]],Metodologia[[Codi ítem]:[Fase]],COLUMN(Metodologia[[#Headers],[Fase]]),FALSE)</f>
        <v>Fase 1</v>
      </c>
      <c r="G46" s="54" t="s">
        <v>620</v>
      </c>
      <c r="H46" s="54" t="s">
        <v>620</v>
      </c>
      <c r="I46" s="55"/>
      <c r="J4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https://municat.gencat.cat/ca/Temes/Transparencia/Items-de-transparencia/1.5.7codi-conducta-alts-carrecs</v>
      </c>
      <c r="M4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1.0020133089524383</v>
      </c>
      <c r="N46" s="8" t="str">
        <f>Avaluacio[[#This Row],[Codi ítem]]</f>
        <v>XGO045</v>
      </c>
    </row>
    <row r="47" spans="1:14" ht="42.75" hidden="1" x14ac:dyDescent="0.2">
      <c r="A47" s="6" t="s">
        <v>1056</v>
      </c>
      <c r="B4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7" s="1" t="str">
        <f>VLOOKUP(Avaluacio[[#This Row],[Codi ítem]],Metodologia[[Codi ítem]:[Ítem]],COLUMN(Metodologia[[#Headers],[Ítem]]),FALSE)</f>
        <v>Actes de ple</v>
      </c>
      <c r="D47" t="str">
        <f>VLOOKUP(Avaluacio[[#This Row],[Codi ítem]],Metodologia[[Codi ítem]:[Família]],COLUMN(Metodologia[[#Headers],[Família]]),FALSE)</f>
        <v>Acció de govern i normativa</v>
      </c>
      <c r="E47" t="str">
        <f>VLOOKUP(Avaluacio[[#This Row],[Codi ítem]],Metodologia[[Codi ítem]:[Subfamília]],COLUMN(Metodologia[[#Headers],[Subfamília]]),FALSE)</f>
        <v>Acció de govern i grups polítics</v>
      </c>
      <c r="F47" s="6" t="str">
        <f>VLOOKUP(Avaluacio[[#This Row],[Codi ítem]],Metodologia[[Codi ítem]:[Fase]],COLUMN(Metodologia[[#Headers],[Fase]]),FALSE)</f>
        <v>Fase 1</v>
      </c>
      <c r="G47" s="54" t="s">
        <v>620</v>
      </c>
      <c r="H47" s="54" t="s">
        <v>620</v>
      </c>
      <c r="I47" s="55"/>
      <c r="J4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https://municat.gencat.cat/ca/Temes/Transparencia/Items-de-transparencia/2.1.1.Actes-ple</v>
      </c>
      <c r="M4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1.0003414424943917</v>
      </c>
      <c r="N47" s="8" t="str">
        <f>Avaluacio[[#This Row],[Codi ítem]]</f>
        <v>XGO046</v>
      </c>
    </row>
    <row r="48" spans="1:14" ht="57" hidden="1" x14ac:dyDescent="0.2">
      <c r="A48" s="6" t="s">
        <v>1057</v>
      </c>
      <c r="B4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8" s="1" t="str">
        <f>VLOOKUP(Avaluacio[[#This Row],[Codi ítem]],Metodologia[[Codi ítem]:[Ítem]],COLUMN(Metodologia[[#Headers],[Ítem]]),FALSE)</f>
        <v>Acords de junta de govern</v>
      </c>
      <c r="D48" t="str">
        <f>VLOOKUP(Avaluacio[[#This Row],[Codi ítem]],Metodologia[[Codi ítem]:[Família]],COLUMN(Metodologia[[#Headers],[Família]]),FALSE)</f>
        <v>Acció de govern i normativa</v>
      </c>
      <c r="E48" t="str">
        <f>VLOOKUP(Avaluacio[[#This Row],[Codi ítem]],Metodologia[[Codi ítem]:[Subfamília]],COLUMN(Metodologia[[#Headers],[Subfamília]]),FALSE)</f>
        <v>Acció de govern i grups polítics</v>
      </c>
      <c r="F48" s="6" t="str">
        <f>VLOOKUP(Avaluacio[[#This Row],[Codi ítem]],Metodologia[[Codi ítem]:[Fase]],COLUMN(Metodologia[[#Headers],[Fase]]),FALSE)</f>
        <v>Fase 4</v>
      </c>
      <c r="G48" s="54" t="s">
        <v>621</v>
      </c>
      <c r="H48" s="54" t="s">
        <v>621</v>
      </c>
      <c r="I48" s="55"/>
      <c r="J4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4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4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https://municat.gencat.cat/ca/Temes/Transparencia/Items-de-transparencia/2.1.2.Acords-junta-govern</v>
      </c>
      <c r="M4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-1.6860048636115142E-4</v>
      </c>
      <c r="N48" s="8" t="str">
        <f>Avaluacio[[#This Row],[Codi ítem]]</f>
        <v>XGO047</v>
      </c>
    </row>
    <row r="49" spans="1:14" ht="71.25" hidden="1" x14ac:dyDescent="0.2">
      <c r="A49" s="6" t="s">
        <v>1058</v>
      </c>
      <c r="B4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49" s="1" t="str">
        <f>VLOOKUP(Avaluacio[[#This Row],[Codi ítem]],Metodologia[[Codi ítem]:[Ítem]],COLUMN(Metodologia[[#Headers],[Ítem]]),FALSE)</f>
        <v>Acords d'òrgans de govern</v>
      </c>
      <c r="D49" t="str">
        <f>VLOOKUP(Avaluacio[[#This Row],[Codi ítem]],Metodologia[[Codi ítem]:[Família]],COLUMN(Metodologia[[#Headers],[Família]]),FALSE)</f>
        <v>Acció de govern i normativa</v>
      </c>
      <c r="E49" t="str">
        <f>VLOOKUP(Avaluacio[[#This Row],[Codi ítem]],Metodologia[[Codi ítem]:[Subfamília]],COLUMN(Metodologia[[#Headers],[Subfamília]]),FALSE)</f>
        <v>Acció de govern i grups polítics</v>
      </c>
      <c r="F49" s="6" t="str">
        <f>VLOOKUP(Avaluacio[[#This Row],[Codi ítem]],Metodologia[[Codi ítem]:[Fase]],COLUMN(Metodologia[[#Headers],[Fase]]),FALSE)</f>
        <v>Fase 4</v>
      </c>
      <c r="G49" s="54" t="s">
        <v>620</v>
      </c>
      <c r="H49" s="54" t="s">
        <v>620</v>
      </c>
      <c r="I49" s="55"/>
      <c r="J4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4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49" s="48" t="str">
        <f>HYPERLINK(VLOOKUP(Avaluacio[[#This Row],[Codi ítem]],Metodologia[[#Headers],[#Data],[Codi ítem]:[Enllaç Municat]],COLUMN(Metodologia[[#Headers],[Enllaç Municat]]),FALSE),VLOOKUP(Avaluacio[[#This Row],[Codi ítem]],Metodologia[[#Headers],[#Data],[Codi ítem]:[Enllaç Municat]],COLUMN(Metodologia[[#Headers],[Enllaç Municat]]),FALSE))</f>
        <v>https://suport-governobert.aoc.cat/hc/ca/articles/13363503104157-Qu%C3%A8-ha-d-incloure-l-%C3%ADtem-Acords-dels-%C3%B2rgans-de-govern-</v>
      </c>
      <c r="M4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1.0004262729277811</v>
      </c>
      <c r="N49" s="8" t="str">
        <f>Avaluacio[[#This Row],[Codi ítem]]</f>
        <v>XGO048</v>
      </c>
    </row>
    <row r="50" spans="1:14" ht="57" hidden="1" x14ac:dyDescent="0.2">
      <c r="A50" s="6" t="s">
        <v>1059</v>
      </c>
      <c r="B5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0" s="1" t="str">
        <f>VLOOKUP(Avaluacio[[#This Row],[Codi ítem]],Metodologia[[Codi ítem]:[Ítem]],COLUMN(Metodologia[[#Headers],[Ítem]]),FALSE)</f>
        <v>Resolucions i decrets</v>
      </c>
      <c r="D50" t="str">
        <f>VLOOKUP(Avaluacio[[#This Row],[Codi ítem]],Metodologia[[Codi ítem]:[Família]],COLUMN(Metodologia[[#Headers],[Família]]),FALSE)</f>
        <v>Acció de govern i normativa</v>
      </c>
      <c r="E50" t="str">
        <f>VLOOKUP(Avaluacio[[#This Row],[Codi ítem]],Metodologia[[Codi ítem]:[Subfamília]],COLUMN(Metodologia[[#Headers],[Subfamília]]),FALSE)</f>
        <v>Acció de govern i grups polítics</v>
      </c>
      <c r="F50" s="6" t="str">
        <f>VLOOKUP(Avaluacio[[#This Row],[Codi ítem]],Metodologia[[Codi ítem]:[Fase]],COLUMN(Metodologia[[#Headers],[Fase]]),FALSE)</f>
        <v>Fase 3</v>
      </c>
      <c r="G50" s="54" t="s">
        <v>620</v>
      </c>
      <c r="H50" s="54" t="s">
        <v>620</v>
      </c>
      <c r="I50" s="55"/>
      <c r="J5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https://municat.gencat.cat/ca/Temes/Transparencia/Items-de-transparencia/2.1.3.Resolucions-i-decrets</v>
      </c>
      <c r="M5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1.0039219937036967</v>
      </c>
      <c r="N50" s="8" t="str">
        <f>Avaluacio[[#This Row],[Codi ítem]]</f>
        <v>XGO049</v>
      </c>
    </row>
    <row r="51" spans="1:14" ht="57" hidden="1" x14ac:dyDescent="0.2">
      <c r="A51" s="6" t="s">
        <v>1060</v>
      </c>
      <c r="B5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1" s="1" t="str">
        <f>VLOOKUP(Avaluacio[[#This Row],[Codi ítem]],Metodologia[[Codi ítem]:[Ítem]],COLUMN(Metodologia[[#Headers],[Ítem]]),FALSE)</f>
        <v>Tauler d'edictes i anuncis</v>
      </c>
      <c r="D51" t="str">
        <f>VLOOKUP(Avaluacio[[#This Row],[Codi ítem]],Metodologia[[Codi ítem]:[Família]],COLUMN(Metodologia[[#Headers],[Família]]),FALSE)</f>
        <v>Acció de govern i normativa</v>
      </c>
      <c r="E51" t="str">
        <f>VLOOKUP(Avaluacio[[#This Row],[Codi ítem]],Metodologia[[Codi ítem]:[Subfamília]],COLUMN(Metodologia[[#Headers],[Subfamília]]),FALSE)</f>
        <v>Acció de govern i grups polítics</v>
      </c>
      <c r="F51" s="6" t="str">
        <f>VLOOKUP(Avaluacio[[#This Row],[Codi ítem]],Metodologia[[Codi ítem]:[Fase]],COLUMN(Metodologia[[#Headers],[Fase]]),FALSE)</f>
        <v>Fase 1</v>
      </c>
      <c r="G51" s="54" t="s">
        <v>620</v>
      </c>
      <c r="H51" s="54" t="s">
        <v>620</v>
      </c>
      <c r="I51" s="55"/>
      <c r="J5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https://municat.gencat.cat/ca/Temes/Transparencia/Items-de-transparencia/2.1.4.Tauler-edictes-i-anuncis</v>
      </c>
      <c r="M5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1.0527701849303448</v>
      </c>
      <c r="N51" s="8" t="str">
        <f>Avaluacio[[#This Row],[Codi ítem]]</f>
        <v>XGO050</v>
      </c>
    </row>
    <row r="52" spans="1:14" ht="57" hidden="1" x14ac:dyDescent="0.2">
      <c r="A52" s="6" t="s">
        <v>1061</v>
      </c>
      <c r="B5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2" s="1" t="str">
        <f>VLOOKUP(Avaluacio[[#This Row],[Codi ítem]],Metodologia[[Codi ítem]:[Ítem]],COLUMN(Metodologia[[#Headers],[Ítem]]),FALSE)</f>
        <v>Convocatòries de sessions del ple</v>
      </c>
      <c r="D52" t="str">
        <f>VLOOKUP(Avaluacio[[#This Row],[Codi ítem]],Metodologia[[Codi ítem]:[Família]],COLUMN(Metodologia[[#Headers],[Família]]),FALSE)</f>
        <v>Acció de govern i normativa</v>
      </c>
      <c r="E52" t="str">
        <f>VLOOKUP(Avaluacio[[#This Row],[Codi ítem]],Metodologia[[Codi ítem]:[Subfamília]],COLUMN(Metodologia[[#Headers],[Subfamília]]),FALSE)</f>
        <v>Acció de govern i grups polítics</v>
      </c>
      <c r="F52" s="6" t="str">
        <f>VLOOKUP(Avaluacio[[#This Row],[Codi ítem]],Metodologia[[Codi ítem]:[Fase]],COLUMN(Metodologia[[#Headers],[Fase]]),FALSE)</f>
        <v>Fase 4</v>
      </c>
      <c r="G52" s="54" t="s">
        <v>620</v>
      </c>
      <c r="H52" s="54" t="s">
        <v>620</v>
      </c>
      <c r="I52" s="55"/>
      <c r="J5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https://municat.gencat.cat/ca/Temes/Transparencia/Items-de-transparencia/2.1.5.Convocatories-sessions-ple</v>
      </c>
      <c r="M5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1.0002120760834732</v>
      </c>
      <c r="N52" s="8" t="str">
        <f>Avaluacio[[#This Row],[Codi ítem]]</f>
        <v>XGO051</v>
      </c>
    </row>
    <row r="53" spans="1:14" ht="75" hidden="1" x14ac:dyDescent="0.2">
      <c r="A53" s="6" t="s">
        <v>1062</v>
      </c>
      <c r="B5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3" s="1" t="str">
        <f>VLOOKUP(Avaluacio[[#This Row],[Codi ítem]],Metodologia[[Codi ítem]:[Ítem]],COLUMN(Metodologia[[#Headers],[Ítem]]),FALSE)</f>
        <v>Actes administratius amb incidència al domini públic i als serveis públics</v>
      </c>
      <c r="D53" t="str">
        <f>VLOOKUP(Avaluacio[[#This Row],[Codi ítem]],Metodologia[[Codi ítem]:[Família]],COLUMN(Metodologia[[#Headers],[Família]]),FALSE)</f>
        <v>Acció de govern i normativa</v>
      </c>
      <c r="E53" t="str">
        <f>VLOOKUP(Avaluacio[[#This Row],[Codi ítem]],Metodologia[[Codi ítem]:[Subfamília]],COLUMN(Metodologia[[#Headers],[Subfamília]]),FALSE)</f>
        <v>Acció de govern i grups polítics</v>
      </c>
      <c r="F53" s="6" t="str">
        <f>VLOOKUP(Avaluacio[[#This Row],[Codi ítem]],Metodologia[[Codi ítem]:[Fase]],COLUMN(Metodologia[[#Headers],[Fase]]),FALSE)</f>
        <v>Fase 4</v>
      </c>
      <c r="G53" s="54" t="s">
        <v>620</v>
      </c>
      <c r="H53" s="54" t="s">
        <v>620</v>
      </c>
      <c r="I53" s="55"/>
      <c r="J5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https://municat.gencat.cat/ca/Temes/Transparencia/Items-de-transparencia/2.1.6.Actes-administratius-incidencia-domini-public</v>
      </c>
      <c r="M5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1.0005726054253774</v>
      </c>
      <c r="N53" s="8" t="str">
        <f>Avaluacio[[#This Row],[Codi ítem]]</f>
        <v>XGO052</v>
      </c>
    </row>
    <row r="54" spans="1:14" ht="57" hidden="1" x14ac:dyDescent="0.2">
      <c r="A54" s="6" t="s">
        <v>1063</v>
      </c>
      <c r="B5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4" s="1" t="str">
        <f>VLOOKUP(Avaluacio[[#This Row],[Codi ítem]],Metodologia[[Codi ítem]:[Ítem]],COLUMN(Metodologia[[#Headers],[Ítem]]),FALSE)</f>
        <v>Actes objecte de revisió en via administrativa</v>
      </c>
      <c r="D54" t="str">
        <f>VLOOKUP(Avaluacio[[#This Row],[Codi ítem]],Metodologia[[Codi ítem]:[Família]],COLUMN(Metodologia[[#Headers],[Família]]),FALSE)</f>
        <v>Acció de govern i normativa</v>
      </c>
      <c r="E54" t="str">
        <f>VLOOKUP(Avaluacio[[#This Row],[Codi ítem]],Metodologia[[Codi ítem]:[Subfamília]],COLUMN(Metodologia[[#Headers],[Subfamília]]),FALSE)</f>
        <v>Acció de govern i grups polítics</v>
      </c>
      <c r="F54" s="6" t="str">
        <f>VLOOKUP(Avaluacio[[#This Row],[Codi ítem]],Metodologia[[Codi ítem]:[Fase]],COLUMN(Metodologia[[#Headers],[Fase]]),FALSE)</f>
        <v>Fase 3</v>
      </c>
      <c r="G54" s="54" t="s">
        <v>620</v>
      </c>
      <c r="H54" s="54" t="s">
        <v>620</v>
      </c>
      <c r="I54" s="55"/>
      <c r="J5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https://municat.gencat.cat/ca/Temes/Transparencia/Items-de-transparencia/2.1.7.Actes-revisio-via-administrativa</v>
      </c>
      <c r="M5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1.0002756989085151</v>
      </c>
      <c r="N54" s="8" t="str">
        <f>Avaluacio[[#This Row],[Codi ítem]]</f>
        <v>XGO053</v>
      </c>
    </row>
    <row r="55" spans="1:14" ht="60" hidden="1" x14ac:dyDescent="0.2">
      <c r="A55" s="6" t="s">
        <v>1064</v>
      </c>
      <c r="B5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5" s="1" t="str">
        <f>VLOOKUP(Avaluacio[[#This Row],[Codi ítem]],Metodologia[[Codi ítem]:[Ítem]],COLUMN(Metodologia[[#Headers],[Ítem]]),FALSE)</f>
        <v>Resolucions administratives i judicials rellevants</v>
      </c>
      <c r="D55" t="str">
        <f>VLOOKUP(Avaluacio[[#This Row],[Codi ítem]],Metodologia[[Codi ítem]:[Família]],COLUMN(Metodologia[[#Headers],[Família]]),FALSE)</f>
        <v>Acció de govern i normativa</v>
      </c>
      <c r="E55" t="str">
        <f>VLOOKUP(Avaluacio[[#This Row],[Codi ítem]],Metodologia[[Codi ítem]:[Subfamília]],COLUMN(Metodologia[[#Headers],[Subfamília]]),FALSE)</f>
        <v>Acció de govern i grups polítics</v>
      </c>
      <c r="F55" s="6" t="str">
        <f>VLOOKUP(Avaluacio[[#This Row],[Codi ítem]],Metodologia[[Codi ítem]:[Fase]],COLUMN(Metodologia[[#Headers],[Fase]]),FALSE)</f>
        <v>Fase 4</v>
      </c>
      <c r="G55" s="54" t="s">
        <v>620</v>
      </c>
      <c r="H55" s="54" t="s">
        <v>620</v>
      </c>
      <c r="I55" s="55"/>
      <c r="J5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https://municat.gencat.cat/ca/Temes/Transparencia/Items-de-transparencia/2.1.8.Resolucions-administratives-i-judicials-rellevants</v>
      </c>
      <c r="M5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1.0015587592135275</v>
      </c>
      <c r="N55" s="8" t="str">
        <f>Avaluacio[[#This Row],[Codi ítem]]</f>
        <v>XGO054</v>
      </c>
    </row>
    <row r="56" spans="1:14" ht="60" hidden="1" x14ac:dyDescent="0.2">
      <c r="A56" s="6" t="s">
        <v>1065</v>
      </c>
      <c r="B5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6" s="1" t="str">
        <f>VLOOKUP(Avaluacio[[#This Row],[Codi ítem]],Metodologia[[Codi ítem]:[Ítem]],COLUMN(Metodologia[[#Headers],[Ítem]]),FALSE)</f>
        <v>Dictàmens de la Comissió Jurídica Assessora i altres òrgans consultius</v>
      </c>
      <c r="D56" t="str">
        <f>VLOOKUP(Avaluacio[[#This Row],[Codi ítem]],Metodologia[[Codi ítem]:[Família]],COLUMN(Metodologia[[#Headers],[Família]]),FALSE)</f>
        <v>Acció de govern i normativa</v>
      </c>
      <c r="E56" t="str">
        <f>VLOOKUP(Avaluacio[[#This Row],[Codi ítem]],Metodologia[[Codi ítem]:[Subfamília]],COLUMN(Metodologia[[#Headers],[Subfamília]]),FALSE)</f>
        <v>Acció de govern i grups polítics</v>
      </c>
      <c r="F56" s="6" t="str">
        <f>VLOOKUP(Avaluacio[[#This Row],[Codi ítem]],Metodologia[[Codi ítem]:[Fase]],COLUMN(Metodologia[[#Headers],[Fase]]),FALSE)</f>
        <v>Fase 1</v>
      </c>
      <c r="G56" s="54" t="s">
        <v>620</v>
      </c>
      <c r="H56" s="54" t="s">
        <v>620</v>
      </c>
      <c r="I56" s="55"/>
      <c r="J5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https://municat.gencat.cat/ca/Temes/Transparencia/Items-de-transparencia/2.1.9.Dictamens-CJA-i-altres-organs-consultius</v>
      </c>
      <c r="M5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1.0005065083793616</v>
      </c>
      <c r="N56" s="8" t="str">
        <f>Avaluacio[[#This Row],[Codi ítem]]</f>
        <v>XGO055</v>
      </c>
    </row>
    <row r="57" spans="1:14" ht="75" x14ac:dyDescent="0.2">
      <c r="A57" s="6" t="s">
        <v>1066</v>
      </c>
      <c r="B5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7" s="1" t="str">
        <f>VLOOKUP(Avaluacio[[#This Row],[Codi ítem]],Metodologia[[Codi ítem]:[Ítem]],COLUMN(Metodologia[[#Headers],[Ítem]]),FALSE)</f>
        <v>Notícies i opinions sobre les actuacions de govern i de l'oposició</v>
      </c>
      <c r="D57" t="str">
        <f>VLOOKUP(Avaluacio[[#This Row],[Codi ítem]],Metodologia[[Codi ítem]:[Família]],COLUMN(Metodologia[[#Headers],[Família]]),FALSE)</f>
        <v>Acció de govern i normativa</v>
      </c>
      <c r="E57" t="str">
        <f>VLOOKUP(Avaluacio[[#This Row],[Codi ítem]],Metodologia[[Codi ítem]:[Subfamília]],COLUMN(Metodologia[[#Headers],[Subfamília]]),FALSE)</f>
        <v>Acció de govern i grups polítics</v>
      </c>
      <c r="F57" s="6" t="str">
        <f>VLOOKUP(Avaluacio[[#This Row],[Codi ítem]],Metodologia[[Codi ítem]:[Fase]],COLUMN(Metodologia[[#Headers],[Fase]]),FALSE)</f>
        <v>Fase 5</v>
      </c>
      <c r="G57" s="54" t="s">
        <v>620</v>
      </c>
      <c r="H57" s="54" t="s">
        <v>620</v>
      </c>
      <c r="I57" s="55"/>
      <c r="J5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https://municat.gencat.cat/ca/Temes/Transparencia/Items-de-transparencia/2.1.10.Noticies-i-opinions-sobre-actuacions-govern-i-oposicio</v>
      </c>
      <c r="M5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1.0007415593718778</v>
      </c>
      <c r="N57" s="8" t="str">
        <f>Avaluacio[[#This Row],[Codi ítem]]</f>
        <v>XGO056</v>
      </c>
    </row>
    <row r="58" spans="1:14" ht="71.25" x14ac:dyDescent="0.2">
      <c r="A58" s="6" t="s">
        <v>1067</v>
      </c>
      <c r="B5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8" s="1" t="str">
        <f>VLOOKUP(Avaluacio[[#This Row],[Codi ítem]],Metodologia[[Codi ítem]:[Ítem]],COLUMN(Metodologia[[#Headers],[Ítem]]),FALSE)</f>
        <v>Opinions i propostes dels grups municipals</v>
      </c>
      <c r="D58" t="str">
        <f>VLOOKUP(Avaluacio[[#This Row],[Codi ítem]],Metodologia[[Codi ítem]:[Família]],COLUMN(Metodologia[[#Headers],[Família]]),FALSE)</f>
        <v>Acció de govern i normativa</v>
      </c>
      <c r="E58" t="str">
        <f>VLOOKUP(Avaluacio[[#This Row],[Codi ítem]],Metodologia[[Codi ítem]:[Subfamília]],COLUMN(Metodologia[[#Headers],[Subfamília]]),FALSE)</f>
        <v>Acció de govern i grups polítics</v>
      </c>
      <c r="F58" s="6" t="str">
        <f>VLOOKUP(Avaluacio[[#This Row],[Codi ítem]],Metodologia[[Codi ítem]:[Fase]],COLUMN(Metodologia[[#Headers],[Fase]]),FALSE)</f>
        <v>Fase 5</v>
      </c>
      <c r="G58" s="54" t="s">
        <v>620</v>
      </c>
      <c r="H58" s="54" t="s">
        <v>620</v>
      </c>
      <c r="I58" s="55"/>
      <c r="J5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https://municat.gencat.cat/ca/Temes/Transparencia/Items-de-transparencia/2.1.11.Opinions-i-propostes-dels-grups-politics-municipals</v>
      </c>
      <c r="M5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1.0010791138047392</v>
      </c>
      <c r="N58" s="8" t="str">
        <f>Avaluacio[[#This Row],[Codi ítem]]</f>
        <v>XGO057</v>
      </c>
    </row>
    <row r="59" spans="1:14" ht="71.25" hidden="1" x14ac:dyDescent="0.2">
      <c r="A59" s="6" t="s">
        <v>1068</v>
      </c>
      <c r="B5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59" s="1" t="str">
        <f>VLOOKUP(Avaluacio[[#This Row],[Codi ítem]],Metodologia[[Codi ítem]:[Ítem]],COLUMN(Metodologia[[#Headers],[Ítem]]),FALSE)</f>
        <v>Resolucions de les sol·licituds d’accés a la informació pública</v>
      </c>
      <c r="D59" t="str">
        <f>VLOOKUP(Avaluacio[[#This Row],[Codi ítem]],Metodologia[[Codi ítem]:[Família]],COLUMN(Metodologia[[#Headers],[Família]]),FALSE)</f>
        <v>Acció de govern i normativa</v>
      </c>
      <c r="E59" t="str">
        <f>VLOOKUP(Avaluacio[[#This Row],[Codi ítem]],Metodologia[[Codi ítem]:[Subfamília]],COLUMN(Metodologia[[#Headers],[Subfamília]]),FALSE)</f>
        <v>Acció de govern i grups polítics</v>
      </c>
      <c r="F59" s="6" t="str">
        <f>VLOOKUP(Avaluacio[[#This Row],[Codi ítem]],Metodologia[[Codi ítem]:[Fase]],COLUMN(Metodologia[[#Headers],[Fase]]),FALSE)</f>
        <v>Fase 3</v>
      </c>
      <c r="G59" s="54" t="s">
        <v>620</v>
      </c>
      <c r="H59" s="54" t="s">
        <v>620</v>
      </c>
      <c r="I59" s="55"/>
      <c r="J5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5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5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https://municat.gencat.cat/ca/Temes/Transparencia/Items-de-transparencia/2.1.12.Resolucions-de-solicituds-acces-informacio-publica</v>
      </c>
      <c r="M5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1.0011144598186514</v>
      </c>
      <c r="N59" s="8" t="str">
        <f>Avaluacio[[#This Row],[Codi ítem]]</f>
        <v>XGO058</v>
      </c>
    </row>
    <row r="60" spans="1:14" ht="42.75" hidden="1" x14ac:dyDescent="0.2">
      <c r="A60" s="6" t="s">
        <v>1069</v>
      </c>
      <c r="B6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0" s="1" t="str">
        <f>VLOOKUP(Avaluacio[[#This Row],[Codi ítem]],Metodologia[[Codi ítem]:[Ítem]],COLUMN(Metodologia[[#Headers],[Ítem]]),FALSE)</f>
        <v>Estatuts</v>
      </c>
      <c r="D60" t="str">
        <f>VLOOKUP(Avaluacio[[#This Row],[Codi ítem]],Metodologia[[Codi ítem]:[Família]],COLUMN(Metodologia[[#Headers],[Família]]),FALSE)</f>
        <v>Acció de govern i normativa</v>
      </c>
      <c r="E60" t="str">
        <f>VLOOKUP(Avaluacio[[#This Row],[Codi ítem]],Metodologia[[Codi ítem]:[Subfamília]],COLUMN(Metodologia[[#Headers],[Subfamília]]),FALSE)</f>
        <v>Normativa, plans i programes</v>
      </c>
      <c r="F60" s="6" t="str">
        <f>VLOOKUP(Avaluacio[[#This Row],[Codi ítem]],Metodologia[[Codi ítem]:[Fase]],COLUMN(Metodologia[[#Headers],[Fase]]),FALSE)</f>
        <v>Fase 1</v>
      </c>
      <c r="G60" s="54" t="s">
        <v>620</v>
      </c>
      <c r="H60" s="54" t="s">
        <v>620</v>
      </c>
      <c r="I60" s="55"/>
      <c r="J6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https://municat.gencat.cat/ca/Temes/Transparencia/Items-de-transparencia/2.2.1.Estatuts</v>
      </c>
      <c r="M6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1.0011738411220239</v>
      </c>
      <c r="N60" s="8" t="str">
        <f>Avaluacio[[#This Row],[Codi ítem]]</f>
        <v>XGO059</v>
      </c>
    </row>
    <row r="61" spans="1:14" ht="57" hidden="1" x14ac:dyDescent="0.2">
      <c r="A61" s="6" t="s">
        <v>1070</v>
      </c>
      <c r="B6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1" s="1" t="str">
        <f>VLOOKUP(Avaluacio[[#This Row],[Codi ítem]],Metodologia[[Codi ítem]:[Ítem]],COLUMN(Metodologia[[#Headers],[Ítem]]),FALSE)</f>
        <v>Ordenances reguladores i reglaments</v>
      </c>
      <c r="D61" t="str">
        <f>VLOOKUP(Avaluacio[[#This Row],[Codi ítem]],Metodologia[[Codi ítem]:[Família]],COLUMN(Metodologia[[#Headers],[Família]]),FALSE)</f>
        <v>Acció de govern i normativa</v>
      </c>
      <c r="E61" t="str">
        <f>VLOOKUP(Avaluacio[[#This Row],[Codi ítem]],Metodologia[[Codi ítem]:[Subfamília]],COLUMN(Metodologia[[#Headers],[Subfamília]]),FALSE)</f>
        <v>Normativa, plans i programes</v>
      </c>
      <c r="F61" s="6" t="str">
        <f>VLOOKUP(Avaluacio[[#This Row],[Codi ítem]],Metodologia[[Codi ítem]:[Fase]],COLUMN(Metodologia[[#Headers],[Fase]]),FALSE)</f>
        <v>Fase 1</v>
      </c>
      <c r="G61" s="54" t="s">
        <v>620</v>
      </c>
      <c r="H61" s="54" t="s">
        <v>620</v>
      </c>
      <c r="I61" s="55"/>
      <c r="J6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https://municat.gencat.cat/ca/Temes/Transparencia/Items-de-transparencia/2.2.2.Ordenances-reguladores-i-reglaments</v>
      </c>
      <c r="M6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1.0274182564518257</v>
      </c>
      <c r="N61" s="8" t="str">
        <f>Avaluacio[[#This Row],[Codi ítem]]</f>
        <v>XGO060</v>
      </c>
    </row>
    <row r="62" spans="1:14" ht="57" hidden="1" x14ac:dyDescent="0.2">
      <c r="A62" s="6" t="s">
        <v>1071</v>
      </c>
      <c r="B6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2" s="1" t="str">
        <f>VLOOKUP(Avaluacio[[#This Row],[Codi ítem]],Metodologia[[Codi ítem]:[Ítem]],COLUMN(Metodologia[[#Headers],[Ítem]]),FALSE)</f>
        <v>Ordenances fiscals</v>
      </c>
      <c r="D62" t="str">
        <f>VLOOKUP(Avaluacio[[#This Row],[Codi ítem]],Metodologia[[Codi ítem]:[Família]],COLUMN(Metodologia[[#Headers],[Família]]),FALSE)</f>
        <v>Acció de govern i normativa</v>
      </c>
      <c r="E62" t="str">
        <f>VLOOKUP(Avaluacio[[#This Row],[Codi ítem]],Metodologia[[Codi ítem]:[Subfamília]],COLUMN(Metodologia[[#Headers],[Subfamília]]),FALSE)</f>
        <v>Normativa, plans i programes</v>
      </c>
      <c r="F62" s="6" t="str">
        <f>VLOOKUP(Avaluacio[[#This Row],[Codi ítem]],Metodologia[[Codi ítem]:[Fase]],COLUMN(Metodologia[[#Headers],[Fase]]),FALSE)</f>
        <v>Fase 1</v>
      </c>
      <c r="G62" s="54" t="s">
        <v>620</v>
      </c>
      <c r="H62" s="54" t="s">
        <v>620</v>
      </c>
      <c r="I62" s="55"/>
      <c r="J6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https://municat.gencat.cat/ca/Temes/Transparencia/Items-de-transparencia/2.2.3.Ordenances-fiscals</v>
      </c>
      <c r="M6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1.0263889805267028</v>
      </c>
      <c r="N62" s="8" t="str">
        <f>Avaluacio[[#This Row],[Codi ítem]]</f>
        <v>XGO061</v>
      </c>
    </row>
    <row r="63" spans="1:14" ht="57" hidden="1" x14ac:dyDescent="0.2">
      <c r="A63" s="6" t="s">
        <v>1072</v>
      </c>
      <c r="B6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3" s="1" t="str">
        <f>VLOOKUP(Avaluacio[[#This Row],[Codi ítem]],Metodologia[[Codi ítem]:[Ítem]],COLUMN(Metodologia[[#Headers],[Ítem]]),FALSE)</f>
        <v>Plecs de clàusules generals</v>
      </c>
      <c r="D63" t="str">
        <f>VLOOKUP(Avaluacio[[#This Row],[Codi ítem]],Metodologia[[Codi ítem]:[Família]],COLUMN(Metodologia[[#Headers],[Família]]),FALSE)</f>
        <v>Acció de govern i normativa</v>
      </c>
      <c r="E63" t="str">
        <f>VLOOKUP(Avaluacio[[#This Row],[Codi ítem]],Metodologia[[Codi ítem]:[Subfamília]],COLUMN(Metodologia[[#Headers],[Subfamília]]),FALSE)</f>
        <v>Normativa, plans i programes</v>
      </c>
      <c r="F63" s="6" t="str">
        <f>VLOOKUP(Avaluacio[[#This Row],[Codi ítem]],Metodologia[[Codi ítem]:[Fase]],COLUMN(Metodologia[[#Headers],[Fase]]),FALSE)</f>
        <v>Fase 1</v>
      </c>
      <c r="G63" s="54" t="s">
        <v>621</v>
      </c>
      <c r="H63" s="54" t="s">
        <v>621</v>
      </c>
      <c r="I63" s="55"/>
      <c r="J6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6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6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https://municat.gencat.cat/ca/Temes/Transparencia/Items-de-transparencia/2.2.4.Plecs-clausules-administratives-generals</v>
      </c>
      <c r="M6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-4.4147171376326651E-4</v>
      </c>
      <c r="N63" s="8" t="str">
        <f>Avaluacio[[#This Row],[Codi ítem]]</f>
        <v>XGO062</v>
      </c>
    </row>
    <row r="64" spans="1:14" ht="90" hidden="1" x14ac:dyDescent="0.2">
      <c r="A64" s="6" t="s">
        <v>1075</v>
      </c>
      <c r="B6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4" s="1" t="str">
        <f>VLOOKUP(Avaluacio[[#This Row],[Codi ítem]],Metodologia[[Codi ítem]:[Ítem]],COLUMN(Metodologia[[#Headers],[Ítem]]),FALSE)</f>
        <v>Directives, instruccions, circulars i respostes a consultes sobre les normes</v>
      </c>
      <c r="D64" t="str">
        <f>VLOOKUP(Avaluacio[[#This Row],[Codi ítem]],Metodologia[[Codi ítem]:[Família]],COLUMN(Metodologia[[#Headers],[Família]]),FALSE)</f>
        <v>Acció de govern i normativa</v>
      </c>
      <c r="E64" t="str">
        <f>VLOOKUP(Avaluacio[[#This Row],[Codi ítem]],Metodologia[[Codi ítem]:[Subfamília]],COLUMN(Metodologia[[#Headers],[Subfamília]]),FALSE)</f>
        <v>Normativa, plans i programes</v>
      </c>
      <c r="F64" s="6" t="str">
        <f>VLOOKUP(Avaluacio[[#This Row],[Codi ítem]],Metodologia[[Codi ítem]:[Fase]],COLUMN(Metodologia[[#Headers],[Fase]]),FALSE)</f>
        <v>Fase 2</v>
      </c>
      <c r="G64" s="54" t="s">
        <v>620</v>
      </c>
      <c r="H64" s="54" t="s">
        <v>620</v>
      </c>
      <c r="I64" s="55"/>
      <c r="J6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https://municat.gencat.cat/ca/Temes/Transparencia/Items-de-transparencia/2.2.5.Directives-instruccions-circulars-respostes-a-consultes-sobre-normes</v>
      </c>
      <c r="M6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1.0005252417667352</v>
      </c>
      <c r="N64" s="8" t="str">
        <f>Avaluacio[[#This Row],[Codi ítem]]</f>
        <v>XGO063</v>
      </c>
    </row>
    <row r="65" spans="1:14" ht="71.25" hidden="1" x14ac:dyDescent="0.2">
      <c r="A65" s="6" t="s">
        <v>1076</v>
      </c>
      <c r="B6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5" s="1" t="str">
        <f>VLOOKUP(Avaluacio[[#This Row],[Codi ítem]],Metodologia[[Codi ítem]:[Ítem]],COLUMN(Metodologia[[#Headers],[Ítem]]),FALSE)</f>
        <v>Memòries i documents dels projectes normatius en curs</v>
      </c>
      <c r="D65" t="str">
        <f>VLOOKUP(Avaluacio[[#This Row],[Codi ítem]],Metodologia[[Codi ítem]:[Família]],COLUMN(Metodologia[[#Headers],[Família]]),FALSE)</f>
        <v>Acció de govern i normativa</v>
      </c>
      <c r="E65" t="str">
        <f>VLOOKUP(Avaluacio[[#This Row],[Codi ítem]],Metodologia[[Codi ítem]:[Subfamília]],COLUMN(Metodologia[[#Headers],[Subfamília]]),FALSE)</f>
        <v>Normativa, plans i programes</v>
      </c>
      <c r="F65" s="6" t="str">
        <f>VLOOKUP(Avaluacio[[#This Row],[Codi ítem]],Metodologia[[Codi ítem]:[Fase]],COLUMN(Metodologia[[#Headers],[Fase]]),FALSE)</f>
        <v>Fase 2</v>
      </c>
      <c r="G65" s="54" t="s">
        <v>620</v>
      </c>
      <c r="H65" s="54" t="s">
        <v>620</v>
      </c>
      <c r="I65" s="55"/>
      <c r="J6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https://municat.gencat.cat/ca/Temes/Transparencia/Items-de-transparencia/2.2.6.Memories-documents-projectes-normatius-curs</v>
      </c>
      <c r="M6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1.002301732425962</v>
      </c>
      <c r="N65" s="8" t="str">
        <f>Avaluacio[[#This Row],[Codi ítem]]</f>
        <v>XGO064</v>
      </c>
    </row>
    <row r="66" spans="1:14" ht="57" hidden="1" x14ac:dyDescent="0.2">
      <c r="A66" s="6" t="s">
        <v>1077</v>
      </c>
      <c r="B6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6" s="1" t="str">
        <f>VLOOKUP(Avaluacio[[#This Row],[Codi ítem]],Metodologia[[Codi ítem]:[Ítem]],COLUMN(Metodologia[[#Headers],[Ítem]]),FALSE)</f>
        <v>Avaluació de l'aplicació de les normes</v>
      </c>
      <c r="D66" t="str">
        <f>VLOOKUP(Avaluacio[[#This Row],[Codi ítem]],Metodologia[[Codi ítem]:[Família]],COLUMN(Metodologia[[#Headers],[Família]]),FALSE)</f>
        <v>Acció de govern i normativa</v>
      </c>
      <c r="E66" t="str">
        <f>VLOOKUP(Avaluacio[[#This Row],[Codi ítem]],Metodologia[[Codi ítem]:[Subfamília]],COLUMN(Metodologia[[#Headers],[Subfamília]]),FALSE)</f>
        <v>Normativa, plans i programes</v>
      </c>
      <c r="F66" s="6" t="str">
        <f>VLOOKUP(Avaluacio[[#This Row],[Codi ítem]],Metodologia[[Codi ítem]:[Fase]],COLUMN(Metodologia[[#Headers],[Fase]]),FALSE)</f>
        <v>Fase 4</v>
      </c>
      <c r="G66" s="54" t="s">
        <v>620</v>
      </c>
      <c r="H66" s="54" t="s">
        <v>620</v>
      </c>
      <c r="I66" s="55"/>
      <c r="J6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https://municat.gencat.cat/ca/Temes/Transparencia/Items-de-transparencia/2.2.7.Avaluacio-aplicacio-de-normes</v>
      </c>
      <c r="M6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1.0002004118988821</v>
      </c>
      <c r="N66" s="8" t="str">
        <f>Avaluacio[[#This Row],[Codi ítem]]</f>
        <v>XGO065</v>
      </c>
    </row>
    <row r="67" spans="1:14" ht="71.25" hidden="1" x14ac:dyDescent="0.2">
      <c r="A67" s="6" t="s">
        <v>1078</v>
      </c>
      <c r="B6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7" s="1" t="str">
        <f>VLOOKUP(Avaluacio[[#This Row],[Codi ítem]],Metodologia[[Codi ítem]:[Ítem]],COLUMN(Metodologia[[#Headers],[Ítem]]),FALSE)</f>
        <v>Plans i programes destacats sobre les polítiques públiques</v>
      </c>
      <c r="D67" t="str">
        <f>VLOOKUP(Avaluacio[[#This Row],[Codi ítem]],Metodologia[[Codi ítem]:[Família]],COLUMN(Metodologia[[#Headers],[Família]]),FALSE)</f>
        <v>Acció de govern i normativa</v>
      </c>
      <c r="E67" t="str">
        <f>VLOOKUP(Avaluacio[[#This Row],[Codi ítem]],Metodologia[[Codi ítem]:[Subfamília]],COLUMN(Metodologia[[#Headers],[Subfamília]]),FALSE)</f>
        <v>Normativa, plans i programes</v>
      </c>
      <c r="F67" s="6" t="str">
        <f>VLOOKUP(Avaluacio[[#This Row],[Codi ítem]],Metodologia[[Codi ítem]:[Fase]],COLUMN(Metodologia[[#Headers],[Fase]]),FALSE)</f>
        <v>Fase 2</v>
      </c>
      <c r="G67" s="54" t="s">
        <v>621</v>
      </c>
      <c r="H67" s="54" t="s">
        <v>621</v>
      </c>
      <c r="I67" s="55"/>
      <c r="J6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6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6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https://municat.gencat.cat/ca/Temes/Transparencia/Items-de-transparencia/2.2.8.Plans-programes-destacats-sobre-politiques-publiques</v>
      </c>
      <c r="M6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-2.9414952777725412E-3</v>
      </c>
      <c r="N67" s="8" t="str">
        <f>Avaluacio[[#This Row],[Codi ítem]]</f>
        <v>XGO066</v>
      </c>
    </row>
    <row r="68" spans="1:14" ht="42.75" x14ac:dyDescent="0.2">
      <c r="A68" s="6" t="s">
        <v>1079</v>
      </c>
      <c r="B6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8" s="1" t="str">
        <f>VLOOKUP(Avaluacio[[#This Row],[Codi ítem]],Metodologia[[Codi ítem]:[Ítem]],COLUMN(Metodologia[[#Headers],[Ítem]]),FALSE)</f>
        <v>Pla anual normatiu</v>
      </c>
      <c r="D68" t="str">
        <f>VLOOKUP(Avaluacio[[#This Row],[Codi ítem]],Metodologia[[Codi ítem]:[Família]],COLUMN(Metodologia[[#Headers],[Família]]),FALSE)</f>
        <v>Acció de govern i normativa</v>
      </c>
      <c r="E68" t="str">
        <f>VLOOKUP(Avaluacio[[#This Row],[Codi ítem]],Metodologia[[Codi ítem]:[Subfamília]],COLUMN(Metodologia[[#Headers],[Subfamília]]),FALSE)</f>
        <v>Normativa, plans i programes</v>
      </c>
      <c r="F68" s="6" t="str">
        <f>VLOOKUP(Avaluacio[[#This Row],[Codi ítem]],Metodologia[[Codi ítem]:[Fase]],COLUMN(Metodologia[[#Headers],[Fase]]),FALSE)</f>
        <v>Fase 5</v>
      </c>
      <c r="G68" s="54" t="s">
        <v>620</v>
      </c>
      <c r="H68" s="54" t="s">
        <v>620</v>
      </c>
      <c r="I68" s="55"/>
      <c r="J6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https://municat.gencat.cat/ca/Temes/Transparencia/Items-de-transparencia/2.2.9.Pla-normatiu</v>
      </c>
      <c r="M6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1.0043107998567309</v>
      </c>
      <c r="N68" s="8" t="str">
        <f>Avaluacio[[#This Row],[Codi ítem]]</f>
        <v>XGO067</v>
      </c>
    </row>
    <row r="69" spans="1:14" ht="57" x14ac:dyDescent="0.2">
      <c r="A69" s="6" t="s">
        <v>1073</v>
      </c>
      <c r="B6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69" s="1" t="str">
        <f>VLOOKUP(Avaluacio[[#This Row],[Codi ítem]],Metodologia[[Codi ítem]:[Ítem]],COLUMN(Metodologia[[#Headers],[Ítem]]),FALSE)</f>
        <v>Calendari i padrons fiscals</v>
      </c>
      <c r="D69" t="str">
        <f>VLOOKUP(Avaluacio[[#This Row],[Codi ítem]],Metodologia[[Codi ítem]:[Família]],COLUMN(Metodologia[[#Headers],[Família]]),FALSE)</f>
        <v>Acció de govern i normativa</v>
      </c>
      <c r="E69" t="str">
        <f>VLOOKUP(Avaluacio[[#This Row],[Codi ítem]],Metodologia[[Codi ítem]:[Subfamília]],COLUMN(Metodologia[[#Headers],[Subfamília]]),FALSE)</f>
        <v>Normativa, plans i programes</v>
      </c>
      <c r="F69" s="6" t="str">
        <f>VLOOKUP(Avaluacio[[#This Row],[Codi ítem]],Metodologia[[Codi ítem]:[Fase]],COLUMN(Metodologia[[#Headers],[Fase]]),FALSE)</f>
        <v>Fase 5</v>
      </c>
      <c r="G69" s="54" t="s">
        <v>620</v>
      </c>
      <c r="H69" s="54" t="s">
        <v>620</v>
      </c>
      <c r="I69" s="55"/>
      <c r="J6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6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6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https://municat.gencat.cat/ca/Temes/Transparencia/Items-de-transparencia/2.2.10.Calendari-i-padrons-fiscals</v>
      </c>
      <c r="M6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1.0062714432484401</v>
      </c>
      <c r="N69" s="8" t="str">
        <f>Avaluacio[[#This Row],[Codi ítem]]</f>
        <v>XGO068</v>
      </c>
    </row>
    <row r="70" spans="1:14" ht="57" x14ac:dyDescent="0.2">
      <c r="A70" s="6" t="s">
        <v>1074</v>
      </c>
      <c r="B7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0" s="1" t="str">
        <f>VLOOKUP(Avaluacio[[#This Row],[Codi ítem]],Metodologia[[Codi ítem]:[Ítem]],COLUMN(Metodologia[[#Headers],[Ítem]]),FALSE)</f>
        <v>Tipus impositius</v>
      </c>
      <c r="D70" t="str">
        <f>VLOOKUP(Avaluacio[[#This Row],[Codi ítem]],Metodologia[[Codi ítem]:[Família]],COLUMN(Metodologia[[#Headers],[Família]]),FALSE)</f>
        <v>Acció de govern i normativa</v>
      </c>
      <c r="E70" t="str">
        <f>VLOOKUP(Avaluacio[[#This Row],[Codi ítem]],Metodologia[[Codi ítem]:[Subfamília]],COLUMN(Metodologia[[#Headers],[Subfamília]]),FALSE)</f>
        <v>Normativa, plans i programes</v>
      </c>
      <c r="F70" s="6" t="str">
        <f>VLOOKUP(Avaluacio[[#This Row],[Codi ítem]],Metodologia[[Codi ítem]:[Fase]],COLUMN(Metodologia[[#Headers],[Fase]]),FALSE)</f>
        <v>Fase 5</v>
      </c>
      <c r="G70" s="54" t="s">
        <v>620</v>
      </c>
      <c r="H70" s="54" t="s">
        <v>620</v>
      </c>
      <c r="I70" s="55"/>
      <c r="J7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https://municat.gencat.cat/ca/Temes/Transparencia/Items-de-transparencia/2.2.11.Tipus-impositius</v>
      </c>
      <c r="M7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1.0055677041114484</v>
      </c>
      <c r="N70" s="8" t="str">
        <f>Avaluacio[[#This Row],[Codi ítem]]</f>
        <v>XGO069</v>
      </c>
    </row>
    <row r="71" spans="1:14" ht="57" hidden="1" x14ac:dyDescent="0.2">
      <c r="A71" s="6" t="s">
        <v>1080</v>
      </c>
      <c r="B7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1" s="1" t="str">
        <f>VLOOKUP(Avaluacio[[#This Row],[Codi ítem]],Metodologia[[Codi ítem]:[Ítem]],COLUMN(Metodologia[[#Headers],[Ítem]]),FALSE)</f>
        <v>Normativa d'urbanisme</v>
      </c>
      <c r="D71" t="str">
        <f>VLOOKUP(Avaluacio[[#This Row],[Codi ítem]],Metodologia[[Codi ítem]:[Família]],COLUMN(Metodologia[[#Headers],[Família]]),FALSE)</f>
        <v>Acció de govern i normativa</v>
      </c>
      <c r="E71" t="str">
        <f>VLOOKUP(Avaluacio[[#This Row],[Codi ítem]],Metodologia[[Codi ítem]:[Subfamília]],COLUMN(Metodologia[[#Headers],[Subfamília]]),FALSE)</f>
        <v>Urbanisme</v>
      </c>
      <c r="F71" s="6" t="str">
        <f>VLOOKUP(Avaluacio[[#This Row],[Codi ítem]],Metodologia[[Codi ítem]:[Fase]],COLUMN(Metodologia[[#Headers],[Fase]]),FALSE)</f>
        <v>Fase 1</v>
      </c>
      <c r="G71" s="54" t="s">
        <v>620</v>
      </c>
      <c r="H71" s="54" t="s">
        <v>620</v>
      </c>
      <c r="I71" s="55"/>
      <c r="J7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https://municat.gencat.cat/ca/Temes/Transparencia/Items-de-transparencia/2.3.1.Normativa-urbanisme</v>
      </c>
      <c r="M7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1.0199782739834486</v>
      </c>
      <c r="N71" s="8" t="str">
        <f>Avaluacio[[#This Row],[Codi ítem]]</f>
        <v>XGO070</v>
      </c>
    </row>
    <row r="72" spans="1:14" ht="57" hidden="1" x14ac:dyDescent="0.2">
      <c r="A72" s="6" t="s">
        <v>1081</v>
      </c>
      <c r="B7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2" s="1" t="str">
        <f>VLOOKUP(Avaluacio[[#This Row],[Codi ítem]],Metodologia[[Codi ítem]:[Ítem]],COLUMN(Metodologia[[#Headers],[Ítem]]),FALSE)</f>
        <v>Planejament urbanístic</v>
      </c>
      <c r="D72" t="str">
        <f>VLOOKUP(Avaluacio[[#This Row],[Codi ítem]],Metodologia[[Codi ítem]:[Família]],COLUMN(Metodologia[[#Headers],[Família]]),FALSE)</f>
        <v>Acció de govern i normativa</v>
      </c>
      <c r="E72" t="str">
        <f>VLOOKUP(Avaluacio[[#This Row],[Codi ítem]],Metodologia[[Codi ítem]:[Subfamília]],COLUMN(Metodologia[[#Headers],[Subfamília]]),FALSE)</f>
        <v>Urbanisme</v>
      </c>
      <c r="F72" s="6" t="str">
        <f>VLOOKUP(Avaluacio[[#This Row],[Codi ítem]],Metodologia[[Codi ítem]:[Fase]],COLUMN(Metodologia[[#Headers],[Fase]]),FALSE)</f>
        <v>Fase 1</v>
      </c>
      <c r="G72" s="54" t="s">
        <v>620</v>
      </c>
      <c r="H72" s="54" t="s">
        <v>620</v>
      </c>
      <c r="I72" s="55"/>
      <c r="J7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https://municat.gencat.cat/ca/Temes/Transparencia/Items-de-transparencia/2.3.2.Plantejament-urbanistic</v>
      </c>
      <c r="M7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1.0155674449073464</v>
      </c>
      <c r="N72" s="8" t="str">
        <f>Avaluacio[[#This Row],[Codi ítem]]</f>
        <v>XGO071</v>
      </c>
    </row>
    <row r="73" spans="1:14" ht="57" hidden="1" x14ac:dyDescent="0.2">
      <c r="A73" s="6" t="s">
        <v>1082</v>
      </c>
      <c r="B7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3" s="1" t="str">
        <f>VLOOKUP(Avaluacio[[#This Row],[Codi ítem]],Metodologia[[Codi ítem]:[Ítem]],COLUMN(Metodologia[[#Headers],[Ítem]]),FALSE)</f>
        <v>Informació geogràfica d'urbanisme</v>
      </c>
      <c r="D73" t="str">
        <f>VLOOKUP(Avaluacio[[#This Row],[Codi ítem]],Metodologia[[Codi ítem]:[Família]],COLUMN(Metodologia[[#Headers],[Família]]),FALSE)</f>
        <v>Acció de govern i normativa</v>
      </c>
      <c r="E73" t="str">
        <f>VLOOKUP(Avaluacio[[#This Row],[Codi ítem]],Metodologia[[Codi ítem]:[Subfamília]],COLUMN(Metodologia[[#Headers],[Subfamília]]),FALSE)</f>
        <v>Urbanisme</v>
      </c>
      <c r="F73" s="6" t="str">
        <f>VLOOKUP(Avaluacio[[#This Row],[Codi ítem]],Metodologia[[Codi ítem]:[Fase]],COLUMN(Metodologia[[#Headers],[Fase]]),FALSE)</f>
        <v>Fase 1</v>
      </c>
      <c r="G73" s="54" t="s">
        <v>620</v>
      </c>
      <c r="H73" s="54" t="s">
        <v>620</v>
      </c>
      <c r="I73" s="55"/>
      <c r="J7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https://municat.gencat.cat/ca/Temes/Transparencia/Items-de-transparencia/2.3.3.Informacio-geografica-urbanisme</v>
      </c>
      <c r="M7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1.0026930127999698</v>
      </c>
      <c r="N73" s="8" t="str">
        <f>Avaluacio[[#This Row],[Codi ítem]]</f>
        <v>XGO072</v>
      </c>
    </row>
    <row r="74" spans="1:14" ht="57" hidden="1" x14ac:dyDescent="0.2">
      <c r="A74" s="6" t="s">
        <v>1083</v>
      </c>
      <c r="B7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4" s="1" t="str">
        <f>VLOOKUP(Avaluacio[[#This Row],[Codi ítem]],Metodologia[[Codi ítem]:[Ítem]],COLUMN(Metodologia[[#Headers],[Ítem]]),FALSE)</f>
        <v>Plans territorials d'urbanisme</v>
      </c>
      <c r="D74" t="str">
        <f>VLOOKUP(Avaluacio[[#This Row],[Codi ítem]],Metodologia[[Codi ítem]:[Família]],COLUMN(Metodologia[[#Headers],[Família]]),FALSE)</f>
        <v>Acció de govern i normativa</v>
      </c>
      <c r="E74" t="str">
        <f>VLOOKUP(Avaluacio[[#This Row],[Codi ítem]],Metodologia[[Codi ítem]:[Subfamília]],COLUMN(Metodologia[[#Headers],[Subfamília]]),FALSE)</f>
        <v>Urbanisme</v>
      </c>
      <c r="F74" s="6" t="str">
        <f>VLOOKUP(Avaluacio[[#This Row],[Codi ítem]],Metodologia[[Codi ítem]:[Fase]],COLUMN(Metodologia[[#Headers],[Fase]]),FALSE)</f>
        <v>Fase 1</v>
      </c>
      <c r="G74" s="54" t="s">
        <v>620</v>
      </c>
      <c r="H74" s="54" t="s">
        <v>620</v>
      </c>
      <c r="I74" s="55"/>
      <c r="J7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https://municat.gencat.cat/ca/Temes/Transparencia/Items-de-transparencia/2.3.4.Plans-territorials-urbanisme</v>
      </c>
      <c r="M7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1.0028672686485569</v>
      </c>
      <c r="N74" s="8" t="str">
        <f>Avaluacio[[#This Row],[Codi ítem]]</f>
        <v>XGO073</v>
      </c>
    </row>
    <row r="75" spans="1:14" ht="57" hidden="1" x14ac:dyDescent="0.2">
      <c r="A75" s="6" t="s">
        <v>1084</v>
      </c>
      <c r="B7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5" s="1" t="str">
        <f>VLOOKUP(Avaluacio[[#This Row],[Codi ítem]],Metodologia[[Codi ítem]:[Ítem]],COLUMN(Metodologia[[#Headers],[Ítem]]),FALSE)</f>
        <v>Estudis d'impacte ambiental i paisatgístic</v>
      </c>
      <c r="D75" t="str">
        <f>VLOOKUP(Avaluacio[[#This Row],[Codi ítem]],Metodologia[[Codi ítem]:[Família]],COLUMN(Metodologia[[#Headers],[Família]]),FALSE)</f>
        <v>Acció de govern i normativa</v>
      </c>
      <c r="E75" t="str">
        <f>VLOOKUP(Avaluacio[[#This Row],[Codi ítem]],Metodologia[[Codi ítem]:[Subfamília]],COLUMN(Metodologia[[#Headers],[Subfamília]]),FALSE)</f>
        <v>Urbanisme</v>
      </c>
      <c r="F75" s="6" t="str">
        <f>VLOOKUP(Avaluacio[[#This Row],[Codi ítem]],Metodologia[[Codi ítem]:[Fase]],COLUMN(Metodologia[[#Headers],[Fase]]),FALSE)</f>
        <v>Fase 4</v>
      </c>
      <c r="G75" s="54" t="s">
        <v>620</v>
      </c>
      <c r="H75" s="54" t="s">
        <v>620</v>
      </c>
      <c r="I75" s="55"/>
      <c r="J7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https://municat.gencat.cat/ca/Temes/Transparencia/Items-de-transparencia/2.3.5.Estudis-impacte-ambiental-paisagistic</v>
      </c>
      <c r="M7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1.0009002629743435</v>
      </c>
      <c r="N75" s="8" t="str">
        <f>Avaluacio[[#This Row],[Codi ítem]]</f>
        <v>XGO074</v>
      </c>
    </row>
    <row r="76" spans="1:14" ht="71.25" hidden="1" x14ac:dyDescent="0.2">
      <c r="A76" s="6" t="s">
        <v>1085</v>
      </c>
      <c r="B7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6" s="1" t="str">
        <f>VLOOKUP(Avaluacio[[#This Row],[Codi ítem]],Metodologia[[Codi ítem]:[Ítem]],COLUMN(Metodologia[[#Headers],[Ítem]]),FALSE)</f>
        <v>Calendari de conservació i règim d'accés documental</v>
      </c>
      <c r="D76" t="str">
        <f>VLOOKUP(Avaluacio[[#This Row],[Codi ítem]],Metodologia[[Codi ítem]:[Família]],COLUMN(Metodologia[[#Headers],[Família]]),FALSE)</f>
        <v>Acció de govern i normativa</v>
      </c>
      <c r="E76" t="str">
        <f>VLOOKUP(Avaluacio[[#This Row],[Codi ítem]],Metodologia[[Codi ítem]:[Subfamília]],COLUMN(Metodologia[[#Headers],[Subfamília]]),FALSE)</f>
        <v>Gestió documental i arxiu</v>
      </c>
      <c r="F76" s="6" t="str">
        <f>VLOOKUP(Avaluacio[[#This Row],[Codi ítem]],Metodologia[[Codi ítem]:[Fase]],COLUMN(Metodologia[[#Headers],[Fase]]),FALSE)</f>
        <v>Fase 4</v>
      </c>
      <c r="G76" s="54" t="s">
        <v>620</v>
      </c>
      <c r="H76" s="54" t="s">
        <v>620</v>
      </c>
      <c r="I76" s="55"/>
      <c r="J7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https://municat.gencat.cat/ca/Temes/Transparencia/Items-de-transparencia/2.4.1.Calendari-conservacio-regim-acces-documental</v>
      </c>
      <c r="M7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1.0004799988689275</v>
      </c>
      <c r="N76" s="8" t="str">
        <f>Avaluacio[[#This Row],[Codi ítem]]</f>
        <v>XGO075</v>
      </c>
    </row>
    <row r="77" spans="1:14" ht="57" x14ac:dyDescent="0.2">
      <c r="A77" s="6" t="s">
        <v>1086</v>
      </c>
      <c r="B7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7" s="1" t="str">
        <f>VLOOKUP(Avaluacio[[#This Row],[Codi ítem]],Metodologia[[Codi ítem]:[Ítem]],COLUMN(Metodologia[[#Headers],[Ítem]]),FALSE)</f>
        <v>Quadre de classificació documental</v>
      </c>
      <c r="D77" t="str">
        <f>VLOOKUP(Avaluacio[[#This Row],[Codi ítem]],Metodologia[[Codi ítem]:[Família]],COLUMN(Metodologia[[#Headers],[Família]]),FALSE)</f>
        <v>Acció de govern i normativa</v>
      </c>
      <c r="E77" t="str">
        <f>VLOOKUP(Avaluacio[[#This Row],[Codi ítem]],Metodologia[[Codi ítem]:[Subfamília]],COLUMN(Metodologia[[#Headers],[Subfamília]]),FALSE)</f>
        <v>Gestió documental i arxiu</v>
      </c>
      <c r="F77" s="6" t="str">
        <f>VLOOKUP(Avaluacio[[#This Row],[Codi ítem]],Metodologia[[Codi ítem]:[Fase]],COLUMN(Metodologia[[#Headers],[Fase]]),FALSE)</f>
        <v>Fase 5</v>
      </c>
      <c r="G77" s="54" t="s">
        <v>620</v>
      </c>
      <c r="H77" s="54" t="s">
        <v>620</v>
      </c>
      <c r="I77" s="55"/>
      <c r="J7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https://municat.gencat.cat/ca/Temes/Transparencia/Items-de-transparencia/2.4.2.Quadre-classificacio-documental</v>
      </c>
      <c r="M7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1.000968480781194</v>
      </c>
      <c r="N77" s="8" t="str">
        <f>Avaluacio[[#This Row],[Codi ítem]]</f>
        <v>XGO076</v>
      </c>
    </row>
    <row r="78" spans="1:14" ht="57" x14ac:dyDescent="0.2">
      <c r="A78" s="6" t="s">
        <v>1087</v>
      </c>
      <c r="B7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8" s="1" t="str">
        <f>VLOOKUP(Avaluacio[[#This Row],[Codi ítem]],Metodologia[[Codi ítem]:[Ítem]],COLUMN(Metodologia[[#Headers],[Ítem]]),FALSE)</f>
        <v>Instruments de descripció documental</v>
      </c>
      <c r="D78" t="str">
        <f>VLOOKUP(Avaluacio[[#This Row],[Codi ítem]],Metodologia[[Codi ítem]:[Família]],COLUMN(Metodologia[[#Headers],[Família]]),FALSE)</f>
        <v>Acció de govern i normativa</v>
      </c>
      <c r="E78" t="str">
        <f>VLOOKUP(Avaluacio[[#This Row],[Codi ítem]],Metodologia[[Codi ítem]:[Subfamília]],COLUMN(Metodologia[[#Headers],[Subfamília]]),FALSE)</f>
        <v>Gestió documental i arxiu</v>
      </c>
      <c r="F78" s="6" t="str">
        <f>VLOOKUP(Avaluacio[[#This Row],[Codi ítem]],Metodologia[[Codi ítem]:[Fase]],COLUMN(Metodologia[[#Headers],[Fase]]),FALSE)</f>
        <v>Fase 5</v>
      </c>
      <c r="G78" s="54" t="s">
        <v>620</v>
      </c>
      <c r="H78" s="54" t="s">
        <v>620</v>
      </c>
      <c r="I78" s="55"/>
      <c r="J7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https://municat.gencat.cat/ca/Temes/Transparencia/Items-de-transparencia/2.4.3.Instruments-descripcio-documental</v>
      </c>
      <c r="M7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1.0004895422926838</v>
      </c>
      <c r="N78" s="8" t="str">
        <f>Avaluacio[[#This Row],[Codi ítem]]</f>
        <v>XGO077</v>
      </c>
    </row>
    <row r="79" spans="1:14" ht="57" x14ac:dyDescent="0.2">
      <c r="A79" s="6" t="s">
        <v>1088</v>
      </c>
      <c r="B7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79" s="1" t="str">
        <f>VLOOKUP(Avaluacio[[#This Row],[Codi ítem]],Metodologia[[Codi ítem]:[Ítem]],COLUMN(Metodologia[[#Headers],[Ítem]]),FALSE)</f>
        <v>Registre d'eliminació de documents</v>
      </c>
      <c r="D79" t="str">
        <f>VLOOKUP(Avaluacio[[#This Row],[Codi ítem]],Metodologia[[Codi ítem]:[Família]],COLUMN(Metodologia[[#Headers],[Família]]),FALSE)</f>
        <v>Acció de govern i normativa</v>
      </c>
      <c r="E79" t="str">
        <f>VLOOKUP(Avaluacio[[#This Row],[Codi ítem]],Metodologia[[Codi ítem]:[Subfamília]],COLUMN(Metodologia[[#Headers],[Subfamília]]),FALSE)</f>
        <v>Gestió documental i arxiu</v>
      </c>
      <c r="F79" s="6" t="str">
        <f>VLOOKUP(Avaluacio[[#This Row],[Codi ítem]],Metodologia[[Codi ítem]:[Fase]],COLUMN(Metodologia[[#Headers],[Fase]]),FALSE)</f>
        <v>Fase 5</v>
      </c>
      <c r="G79" s="54" t="s">
        <v>620</v>
      </c>
      <c r="H79" s="54" t="s">
        <v>620</v>
      </c>
      <c r="I79" s="55"/>
      <c r="J7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7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7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https://municat.gencat.cat/ca/Temes/Transparencia/Items-de-transparencia/2.4.4.Registre-eliminacio-documents</v>
      </c>
      <c r="M7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1.0004853007710144</v>
      </c>
      <c r="N79" s="8" t="str">
        <f>Avaluacio[[#This Row],[Codi ítem]]</f>
        <v>XGO078</v>
      </c>
    </row>
    <row r="80" spans="1:14" ht="57" hidden="1" x14ac:dyDescent="0.2">
      <c r="A80" s="6" t="s">
        <v>995</v>
      </c>
      <c r="B8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0" s="1" t="str">
        <f>VLOOKUP(Avaluacio[[#This Row],[Codi ítem]],Metodologia[[Codi ítem]:[Ítem]],COLUMN(Metodologia[[#Headers],[Ítem]]),FALSE)</f>
        <v>Licitacions en tràmit (perfil de contractant)</v>
      </c>
      <c r="D80" t="str">
        <f>VLOOKUP(Avaluacio[[#This Row],[Codi ítem]],Metodologia[[Codi ítem]:[Família]],COLUMN(Metodologia[[#Headers],[Família]]),FALSE)</f>
        <v>Contractes, convenis i subvencions</v>
      </c>
      <c r="E80" t="str">
        <f>VLOOKUP(Avaluacio[[#This Row],[Codi ítem]],Metodologia[[Codi ítem]:[Subfamília]],COLUMN(Metodologia[[#Headers],[Subfamília]]),FALSE)</f>
        <v>Relació de contractes</v>
      </c>
      <c r="F80" s="6" t="str">
        <f>VLOOKUP(Avaluacio[[#This Row],[Codi ítem]],Metodologia[[Codi ítem]:[Fase]],COLUMN(Metodologia[[#Headers],[Fase]]),FALSE)</f>
        <v>Fase 1</v>
      </c>
      <c r="G80" s="54" t="s">
        <v>621</v>
      </c>
      <c r="H80" s="54" t="s">
        <v>620</v>
      </c>
      <c r="I80" s="55"/>
      <c r="J8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parcialment</v>
      </c>
      <c r="K8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0.5</v>
      </c>
      <c r="L8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https://municat.gencat.cat/ca/Temes/Transparencia/Items-de-transparencia/3.1.1.Licitacions-en-tramit</v>
      </c>
      <c r="M8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0.48362242445378628</v>
      </c>
      <c r="N80" s="8" t="str">
        <f>Avaluacio[[#This Row],[Codi ítem]]</f>
        <v>XGO079</v>
      </c>
    </row>
    <row r="81" spans="1:14" ht="57" hidden="1" x14ac:dyDescent="0.2">
      <c r="A81" s="6" t="s">
        <v>996</v>
      </c>
      <c r="B8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1" s="1" t="str">
        <f>VLOOKUP(Avaluacio[[#This Row],[Codi ítem]],Metodologia[[Codi ítem]:[Ítem]],COLUMN(Metodologia[[#Headers],[Ítem]]),FALSE)</f>
        <v>Contractes programats</v>
      </c>
      <c r="D81" t="str">
        <f>VLOOKUP(Avaluacio[[#This Row],[Codi ítem]],Metodologia[[Codi ítem]:[Família]],COLUMN(Metodologia[[#Headers],[Família]]),FALSE)</f>
        <v>Contractes, convenis i subvencions</v>
      </c>
      <c r="E81" t="str">
        <f>VLOOKUP(Avaluacio[[#This Row],[Codi ítem]],Metodologia[[Codi ítem]:[Subfamília]],COLUMN(Metodologia[[#Headers],[Subfamília]]),FALSE)</f>
        <v>Relació de contractes</v>
      </c>
      <c r="F81" s="6" t="str">
        <f>VLOOKUP(Avaluacio[[#This Row],[Codi ítem]],Metodologia[[Codi ítem]:[Fase]],COLUMN(Metodologia[[#Headers],[Fase]]),FALSE)</f>
        <v>Fase 1</v>
      </c>
      <c r="G81" s="54" t="s">
        <v>620</v>
      </c>
      <c r="H81" s="54" t="s">
        <v>620</v>
      </c>
      <c r="I81" s="55"/>
      <c r="J8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https://municat.gencat.cat/ca/Temes/Transparencia/Items-de-transparencia/3.1.2.Contractes-programats</v>
      </c>
      <c r="M8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1.0019376684826664</v>
      </c>
      <c r="N81" s="8" t="str">
        <f>Avaluacio[[#This Row],[Codi ítem]]</f>
        <v>XGO080</v>
      </c>
    </row>
    <row r="82" spans="1:14" ht="60" hidden="1" x14ac:dyDescent="0.2">
      <c r="A82" s="6" t="s">
        <v>997</v>
      </c>
      <c r="B8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2" s="1" t="str">
        <f>VLOOKUP(Avaluacio[[#This Row],[Codi ítem]],Metodologia[[Codi ítem]:[Ítem]],COLUMN(Metodologia[[#Headers],[Ítem]]),FALSE)</f>
        <v>Relació de contractes adjudicats (històric)</v>
      </c>
      <c r="D82" t="str">
        <f>VLOOKUP(Avaluacio[[#This Row],[Codi ítem]],Metodologia[[Codi ítem]:[Família]],COLUMN(Metodologia[[#Headers],[Família]]),FALSE)</f>
        <v>Contractes, convenis i subvencions</v>
      </c>
      <c r="E82" t="str">
        <f>VLOOKUP(Avaluacio[[#This Row],[Codi ítem]],Metodologia[[Codi ítem]:[Subfamília]],COLUMN(Metodologia[[#Headers],[Subfamília]]),FALSE)</f>
        <v>Relació de contractes</v>
      </c>
      <c r="F82" s="6" t="str">
        <f>VLOOKUP(Avaluacio[[#This Row],[Codi ítem]],Metodologia[[Codi ítem]:[Fase]],COLUMN(Metodologia[[#Headers],[Fase]]),FALSE)</f>
        <v>Fase 1</v>
      </c>
      <c r="G82" s="54" t="s">
        <v>620</v>
      </c>
      <c r="H82" s="54" t="s">
        <v>620</v>
      </c>
      <c r="I82" s="55"/>
      <c r="J8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https://municat.gencat.cat/ca/Temes/Transparencia/Items-de-transparencia/3.1.3.Relacio-contractes-adjudicats</v>
      </c>
      <c r="M8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1.0028771655324524</v>
      </c>
      <c r="N82" s="8" t="str">
        <f>Avaluacio[[#This Row],[Codi ítem]]</f>
        <v>XGO081</v>
      </c>
    </row>
    <row r="83" spans="1:14" ht="57" hidden="1" x14ac:dyDescent="0.2">
      <c r="A83" s="6" t="s">
        <v>998</v>
      </c>
      <c r="B8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3" s="1" t="str">
        <f>VLOOKUP(Avaluacio[[#This Row],[Codi ítem]],Metodologia[[Codi ítem]:[Ítem]],COLUMN(Metodologia[[#Headers],[Ítem]]),FALSE)</f>
        <v>Relació de contractes menors (històric)</v>
      </c>
      <c r="D83" t="str">
        <f>VLOOKUP(Avaluacio[[#This Row],[Codi ítem]],Metodologia[[Codi ítem]:[Família]],COLUMN(Metodologia[[#Headers],[Família]]),FALSE)</f>
        <v>Contractes, convenis i subvencions</v>
      </c>
      <c r="E83" t="str">
        <f>VLOOKUP(Avaluacio[[#This Row],[Codi ítem]],Metodologia[[Codi ítem]:[Subfamília]],COLUMN(Metodologia[[#Headers],[Subfamília]]),FALSE)</f>
        <v>Relació de contractes</v>
      </c>
      <c r="F83" s="6" t="str">
        <f>VLOOKUP(Avaluacio[[#This Row],[Codi ítem]],Metodologia[[Codi ítem]:[Fase]],COLUMN(Metodologia[[#Headers],[Fase]]),FALSE)</f>
        <v>Fase 1</v>
      </c>
      <c r="G83" s="54" t="s">
        <v>620</v>
      </c>
      <c r="H83" s="54" t="s">
        <v>620</v>
      </c>
      <c r="I83" s="55"/>
      <c r="J8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https://municat.gencat.cat/ca/Temes/Transparencia/Items-de-transparencia/3.1.4.Relacio-contractes-menors</v>
      </c>
      <c r="M8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1.0029209945897035</v>
      </c>
      <c r="N83" s="8" t="str">
        <f>Avaluacio[[#This Row],[Codi ítem]]</f>
        <v>XGO082</v>
      </c>
    </row>
    <row r="84" spans="1:14" ht="57" hidden="1" x14ac:dyDescent="0.2">
      <c r="A84" s="6" t="s">
        <v>999</v>
      </c>
      <c r="B8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4" s="1" t="str">
        <f>VLOOKUP(Avaluacio[[#This Row],[Codi ítem]],Metodologia[[Codi ítem]:[Ítem]],COLUMN(Metodologia[[#Headers],[Ítem]]),FALSE)</f>
        <v>Modificacions de contractes</v>
      </c>
      <c r="D84" t="str">
        <f>VLOOKUP(Avaluacio[[#This Row],[Codi ítem]],Metodologia[[Codi ítem]:[Família]],COLUMN(Metodologia[[#Headers],[Família]]),FALSE)</f>
        <v>Contractes, convenis i subvencions</v>
      </c>
      <c r="E84" t="str">
        <f>VLOOKUP(Avaluacio[[#This Row],[Codi ítem]],Metodologia[[Codi ítem]:[Subfamília]],COLUMN(Metodologia[[#Headers],[Subfamília]]),FALSE)</f>
        <v>Relació de contractes</v>
      </c>
      <c r="F84" s="6" t="str">
        <f>VLOOKUP(Avaluacio[[#This Row],[Codi ítem]],Metodologia[[Codi ítem]:[Fase]],COLUMN(Metodologia[[#Headers],[Fase]]),FALSE)</f>
        <v>Fase 1</v>
      </c>
      <c r="G84" s="54" t="s">
        <v>620</v>
      </c>
      <c r="H84" s="54" t="s">
        <v>620</v>
      </c>
      <c r="I84" s="55"/>
      <c r="J8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https://municat.gencat.cat/ca/Temes/Transparencia/Items-de-transparencia/3.1.5.Modificacions-de-contractes</v>
      </c>
      <c r="M8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1.0007482751145211</v>
      </c>
      <c r="N84" s="8" t="str">
        <f>Avaluacio[[#This Row],[Codi ítem]]</f>
        <v>XGO083</v>
      </c>
    </row>
    <row r="85" spans="1:14" ht="57" x14ac:dyDescent="0.2">
      <c r="A85" s="6" t="s">
        <v>1000</v>
      </c>
      <c r="B8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5" s="1" t="str">
        <f>VLOOKUP(Avaluacio[[#This Row],[Codi ítem]],Metodologia[[Codi ítem]:[Ítem]],COLUMN(Metodologia[[#Headers],[Ítem]]),FALSE)</f>
        <v>Registre de factures</v>
      </c>
      <c r="D85" t="str">
        <f>VLOOKUP(Avaluacio[[#This Row],[Codi ítem]],Metodologia[[Codi ítem]:[Família]],COLUMN(Metodologia[[#Headers],[Família]]),FALSE)</f>
        <v>Contractes, convenis i subvencions</v>
      </c>
      <c r="E85" t="str">
        <f>VLOOKUP(Avaluacio[[#This Row],[Codi ítem]],Metodologia[[Codi ítem]:[Subfamília]],COLUMN(Metodologia[[#Headers],[Subfamília]]),FALSE)</f>
        <v>Relació de contractes</v>
      </c>
      <c r="F85" s="6" t="str">
        <f>VLOOKUP(Avaluacio[[#This Row],[Codi ítem]],Metodologia[[Codi ítem]:[Fase]],COLUMN(Metodologia[[#Headers],[Fase]]),FALSE)</f>
        <v>Fase 5</v>
      </c>
      <c r="G85" s="54" t="s">
        <v>620</v>
      </c>
      <c r="H85" s="54" t="s">
        <v>620</v>
      </c>
      <c r="I85" s="55"/>
      <c r="J8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https://municat.gencat.cat/ca/Temes/Transparencia/Items-de-transparencia/3.1.6.Registre-de-factures</v>
      </c>
      <c r="M8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1.0011240032424076</v>
      </c>
      <c r="N85" s="8" t="str">
        <f>Avaluacio[[#This Row],[Codi ítem]]</f>
        <v>XGO084</v>
      </c>
    </row>
    <row r="86" spans="1:14" ht="71.25" x14ac:dyDescent="0.2">
      <c r="A86" s="6" t="s">
        <v>1001</v>
      </c>
      <c r="B8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6" s="1" t="str">
        <f>VLOOKUP(Avaluacio[[#This Row],[Codi ítem]],Metodologia[[Codi ítem]:[Ítem]],COLUMN(Metodologia[[#Headers],[Ítem]]),FALSE)</f>
        <v>Relació de proveïdors, adjudicataris i/o contractistes</v>
      </c>
      <c r="D86" t="str">
        <f>VLOOKUP(Avaluacio[[#This Row],[Codi ítem]],Metodologia[[Codi ítem]:[Família]],COLUMN(Metodologia[[#Headers],[Família]]),FALSE)</f>
        <v>Contractes, convenis i subvencions</v>
      </c>
      <c r="E86" t="str">
        <f>VLOOKUP(Avaluacio[[#This Row],[Codi ítem]],Metodologia[[Codi ítem]:[Subfamília]],COLUMN(Metodologia[[#Headers],[Subfamília]]),FALSE)</f>
        <v>Relació de contractes</v>
      </c>
      <c r="F86" s="6" t="str">
        <f>VLOOKUP(Avaluacio[[#This Row],[Codi ítem]],Metodologia[[Codi ítem]:[Fase]],COLUMN(Metodologia[[#Headers],[Fase]]),FALSE)</f>
        <v>Fase 5</v>
      </c>
      <c r="G86" s="54" t="s">
        <v>620</v>
      </c>
      <c r="H86" s="54" t="s">
        <v>620</v>
      </c>
      <c r="I86" s="55"/>
      <c r="J8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https://municat.gencat.cat/ca/Temes/Transparencia/Items-de-transparencia/3.1.7.Relacio-proveidors-adjudicataris-contractistes</v>
      </c>
      <c r="M8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1.0012947244896035</v>
      </c>
      <c r="N86" s="8" t="str">
        <f>Avaluacio[[#This Row],[Codi ítem]]</f>
        <v>XGO085</v>
      </c>
    </row>
    <row r="87" spans="1:14" ht="57" hidden="1" x14ac:dyDescent="0.2">
      <c r="A87" s="6" t="s">
        <v>1002</v>
      </c>
      <c r="B8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7" s="1" t="str">
        <f>VLOOKUP(Avaluacio[[#This Row],[Codi ítem]],Metodologia[[Codi ítem]:[Ítem]],COLUMN(Metodologia[[#Headers],[Ítem]]),FALSE)</f>
        <v>Òrgans de contractació</v>
      </c>
      <c r="D87" t="str">
        <f>VLOOKUP(Avaluacio[[#This Row],[Codi ítem]],Metodologia[[Codi ítem]:[Família]],COLUMN(Metodologia[[#Headers],[Família]]),FALSE)</f>
        <v>Contractes, convenis i subvencions</v>
      </c>
      <c r="E87" t="str">
        <f>VLOOKUP(Avaluacio[[#This Row],[Codi ítem]],Metodologia[[Codi ítem]:[Subfamília]],COLUMN(Metodologia[[#Headers],[Subfamília]]),FALSE)</f>
        <v>Informació de la contractació pública</v>
      </c>
      <c r="F87" s="6" t="str">
        <f>VLOOKUP(Avaluacio[[#This Row],[Codi ítem]],Metodologia[[Codi ítem]:[Fase]],COLUMN(Metodologia[[#Headers],[Fase]]),FALSE)</f>
        <v>Fase 1</v>
      </c>
      <c r="G87" s="54" t="s">
        <v>620</v>
      </c>
      <c r="H87" s="54" t="s">
        <v>620</v>
      </c>
      <c r="I87" s="55"/>
      <c r="J8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https://municat.gencat.cat/ca/Temes/Transparencia/Items-de-transparencia/3.2.1.Organs-contractacio</v>
      </c>
      <c r="M8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1.0008087167983108</v>
      </c>
      <c r="N87" s="8" t="str">
        <f>Avaluacio[[#This Row],[Codi ítem]]</f>
        <v>XGO086</v>
      </c>
    </row>
    <row r="88" spans="1:14" ht="57" hidden="1" x14ac:dyDescent="0.2">
      <c r="A88" s="6" t="s">
        <v>1003</v>
      </c>
      <c r="B8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8" s="1" t="str">
        <f>VLOOKUP(Avaluacio[[#This Row],[Codi ítem]],Metodologia[[Codi ítem]:[Ítem]],COLUMN(Metodologia[[#Headers],[Ítem]]),FALSE)</f>
        <v>Registre de licitadors</v>
      </c>
      <c r="D88" t="str">
        <f>VLOOKUP(Avaluacio[[#This Row],[Codi ítem]],Metodologia[[Codi ítem]:[Família]],COLUMN(Metodologia[[#Headers],[Família]]),FALSE)</f>
        <v>Contractes, convenis i subvencions</v>
      </c>
      <c r="E88" t="str">
        <f>VLOOKUP(Avaluacio[[#This Row],[Codi ítem]],Metodologia[[Codi ítem]:[Subfamília]],COLUMN(Metodologia[[#Headers],[Subfamília]]),FALSE)</f>
        <v>Informació de la contractació pública</v>
      </c>
      <c r="F88" s="6" t="str">
        <f>VLOOKUP(Avaluacio[[#This Row],[Codi ítem]],Metodologia[[Codi ítem]:[Fase]],COLUMN(Metodologia[[#Headers],[Fase]]),FALSE)</f>
        <v>Fase 1</v>
      </c>
      <c r="G88" s="54" t="s">
        <v>620</v>
      </c>
      <c r="H88" s="54" t="s">
        <v>620</v>
      </c>
      <c r="I88" s="55"/>
      <c r="J8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https://municat.gencat.cat/ca/Temes/Transparencia/Items-de-transparencia/3.2.2.Registre-de-licitadors</v>
      </c>
      <c r="M8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1.0006238571455501</v>
      </c>
      <c r="N88" s="8" t="str">
        <f>Avaluacio[[#This Row],[Codi ítem]]</f>
        <v>XGO087</v>
      </c>
    </row>
    <row r="89" spans="1:14" ht="57" hidden="1" x14ac:dyDescent="0.2">
      <c r="A89" s="6" t="s">
        <v>1004</v>
      </c>
      <c r="B8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89" s="1" t="str">
        <f>VLOOKUP(Avaluacio[[#This Row],[Codi ítem]],Metodologia[[Codi ítem]:[Ítem]],COLUMN(Metodologia[[#Headers],[Ítem]]),FALSE)</f>
        <v>Registre d'empreses classificades</v>
      </c>
      <c r="D89" t="str">
        <f>VLOOKUP(Avaluacio[[#This Row],[Codi ítem]],Metodologia[[Codi ítem]:[Família]],COLUMN(Metodologia[[#Headers],[Família]]),FALSE)</f>
        <v>Contractes, convenis i subvencions</v>
      </c>
      <c r="E89" t="str">
        <f>VLOOKUP(Avaluacio[[#This Row],[Codi ítem]],Metodologia[[Codi ítem]:[Subfamília]],COLUMN(Metodologia[[#Headers],[Subfamília]]),FALSE)</f>
        <v>Informació de la contractació pública</v>
      </c>
      <c r="F89" s="6" t="str">
        <f>VLOOKUP(Avaluacio[[#This Row],[Codi ítem]],Metodologia[[Codi ítem]:[Fase]],COLUMN(Metodologia[[#Headers],[Fase]]),FALSE)</f>
        <v>Fase 1</v>
      </c>
      <c r="G89" s="54" t="s">
        <v>620</v>
      </c>
      <c r="H89" s="54" t="s">
        <v>620</v>
      </c>
      <c r="I89" s="55"/>
      <c r="J8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8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8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https://municat.gencat.cat/ca/Temes/Transparencia/Items-de-transparencia/3.2.3.Registre-empreses-classificades</v>
      </c>
      <c r="M8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1.0004658604633627</v>
      </c>
      <c r="N89" s="8" t="str">
        <f>Avaluacio[[#This Row],[Codi ítem]]</f>
        <v>XGO088</v>
      </c>
    </row>
    <row r="90" spans="1:14" ht="57" hidden="1" x14ac:dyDescent="0.2">
      <c r="A90" s="6" t="s">
        <v>1005</v>
      </c>
      <c r="B9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0" s="1" t="str">
        <f>VLOOKUP(Avaluacio[[#This Row],[Codi ítem]],Metodologia[[Codi ítem]:[Ítem]],COLUMN(Metodologia[[#Headers],[Ítem]]),FALSE)</f>
        <v>Criteris interpretatius de contractació</v>
      </c>
      <c r="D90" t="str">
        <f>VLOOKUP(Avaluacio[[#This Row],[Codi ítem]],Metodologia[[Codi ítem]:[Família]],COLUMN(Metodologia[[#Headers],[Família]]),FALSE)</f>
        <v>Contractes, convenis i subvencions</v>
      </c>
      <c r="E90" t="str">
        <f>VLOOKUP(Avaluacio[[#This Row],[Codi ítem]],Metodologia[[Codi ítem]:[Subfamília]],COLUMN(Metodologia[[#Headers],[Subfamília]]),FALSE)</f>
        <v>Informació de la contractació pública</v>
      </c>
      <c r="F90" s="6" t="str">
        <f>VLOOKUP(Avaluacio[[#This Row],[Codi ítem]],Metodologia[[Codi ítem]:[Fase]],COLUMN(Metodologia[[#Headers],[Fase]]),FALSE)</f>
        <v>Fase 1</v>
      </c>
      <c r="G90" s="54" t="s">
        <v>620</v>
      </c>
      <c r="H90" s="54" t="s">
        <v>620</v>
      </c>
      <c r="I90" s="55"/>
      <c r="J9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https://municat.gencat.cat/ca/Temes/Transparencia/Items-de-transparencia/3.2.4.Criteris-interpretatius-contractacio</v>
      </c>
      <c r="M9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1.0002739316078195</v>
      </c>
      <c r="N90" s="8" t="str">
        <f>Avaluacio[[#This Row],[Codi ítem]]</f>
        <v>XGO089</v>
      </c>
    </row>
    <row r="91" spans="1:14" ht="57" hidden="1" x14ac:dyDescent="0.2">
      <c r="A91" s="6" t="s">
        <v>1006</v>
      </c>
      <c r="B9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1" s="1" t="str">
        <f>VLOOKUP(Avaluacio[[#This Row],[Codi ítem]],Metodologia[[Codi ítem]:[Ítem]],COLUMN(Metodologia[[#Headers],[Ítem]]),FALSE)</f>
        <v>Consultes més freqüents sobre contractació</v>
      </c>
      <c r="D91" t="str">
        <f>VLOOKUP(Avaluacio[[#This Row],[Codi ítem]],Metodologia[[Codi ítem]:[Família]],COLUMN(Metodologia[[#Headers],[Família]]),FALSE)</f>
        <v>Contractes, convenis i subvencions</v>
      </c>
      <c r="E91" t="str">
        <f>VLOOKUP(Avaluacio[[#This Row],[Codi ítem]],Metodologia[[Codi ítem]:[Subfamília]],COLUMN(Metodologia[[#Headers],[Subfamília]]),FALSE)</f>
        <v>Informació de la contractació pública</v>
      </c>
      <c r="F91" s="6" t="str">
        <f>VLOOKUP(Avaluacio[[#This Row],[Codi ítem]],Metodologia[[Codi ítem]:[Fase]],COLUMN(Metodologia[[#Headers],[Fase]]),FALSE)</f>
        <v>Fase 1</v>
      </c>
      <c r="G91" s="54" t="s">
        <v>620</v>
      </c>
      <c r="H91" s="54" t="s">
        <v>620</v>
      </c>
      <c r="I91" s="55"/>
      <c r="J9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https://municat.gencat.cat/ca/Temes/Transparencia/Items-de-transparencia/3.2.5.Consultes-frequents-sobre-contractacio</v>
      </c>
      <c r="M9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1.0003230625671575</v>
      </c>
      <c r="N91" s="8" t="str">
        <f>Avaluacio[[#This Row],[Codi ítem]]</f>
        <v>XGO090</v>
      </c>
    </row>
    <row r="92" spans="1:14" ht="90" hidden="1" x14ac:dyDescent="0.2">
      <c r="A92" s="6" t="s">
        <v>1007</v>
      </c>
      <c r="B9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2" s="1" t="str">
        <f>VLOOKUP(Avaluacio[[#This Row],[Codi ítem]],Metodologia[[Codi ítem]:[Ítem]],COLUMN(Metodologia[[#Headers],[Ítem]]),FALSE)</f>
        <v>Resolucions de recursos, actes de desistiment, renúncia i resolució de contractes</v>
      </c>
      <c r="D92" t="str">
        <f>VLOOKUP(Avaluacio[[#This Row],[Codi ítem]],Metodologia[[Codi ítem]:[Família]],COLUMN(Metodologia[[#Headers],[Família]]),FALSE)</f>
        <v>Contractes, convenis i subvencions</v>
      </c>
      <c r="E92" t="str">
        <f>VLOOKUP(Avaluacio[[#This Row],[Codi ítem]],Metodologia[[Codi ítem]:[Subfamília]],COLUMN(Metodologia[[#Headers],[Subfamília]]),FALSE)</f>
        <v>Informació de la contractació pública</v>
      </c>
      <c r="F92" s="6" t="str">
        <f>VLOOKUP(Avaluacio[[#This Row],[Codi ítem]],Metodologia[[Codi ítem]:[Fase]],COLUMN(Metodologia[[#Headers],[Fase]]),FALSE)</f>
        <v>Fase 4</v>
      </c>
      <c r="G92" s="54" t="s">
        <v>620</v>
      </c>
      <c r="H92" s="54" t="s">
        <v>620</v>
      </c>
      <c r="I92" s="55"/>
      <c r="J9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https://municat.gencat.cat/ca/Temes/Transparencia/Items-de-transparencia/3.2.6.Resolucions-recursos-actes-desistiment-renuncia-resolucio-contractes</v>
      </c>
      <c r="M9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1.0004078930005467</v>
      </c>
      <c r="N92" s="8" t="str">
        <f>Avaluacio[[#This Row],[Codi ítem]]</f>
        <v>XGO091</v>
      </c>
    </row>
    <row r="93" spans="1:14" ht="71.25" hidden="1" x14ac:dyDescent="0.2">
      <c r="A93" s="6" t="s">
        <v>1008</v>
      </c>
      <c r="B9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3" s="1" t="str">
        <f>VLOOKUP(Avaluacio[[#This Row],[Codi ítem]],Metodologia[[Codi ítem]:[Ítem]],COLUMN(Metodologia[[#Headers],[Ítem]]),FALSE)</f>
        <v>Informe de contractes adjudicats segons el procediment</v>
      </c>
      <c r="D93" t="str">
        <f>VLOOKUP(Avaluacio[[#This Row],[Codi ítem]],Metodologia[[Codi ítem]:[Família]],COLUMN(Metodologia[[#Headers],[Família]]),FALSE)</f>
        <v>Contractes, convenis i subvencions</v>
      </c>
      <c r="E93" t="str">
        <f>VLOOKUP(Avaluacio[[#This Row],[Codi ítem]],Metodologia[[Codi ítem]:[Subfamília]],COLUMN(Metodologia[[#Headers],[Subfamília]]),FALSE)</f>
        <v>Informació de la contractació pública</v>
      </c>
      <c r="F93" s="6" t="str">
        <f>VLOOKUP(Avaluacio[[#This Row],[Codi ítem]],Metodologia[[Codi ítem]:[Fase]],COLUMN(Metodologia[[#Headers],[Fase]]),FALSE)</f>
        <v>Fase 3</v>
      </c>
      <c r="G93" s="54" t="s">
        <v>620</v>
      </c>
      <c r="H93" s="54" t="s">
        <v>620</v>
      </c>
      <c r="I93" s="55"/>
      <c r="J9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https://municat.gencat.cat/ca/Temes/Transparencia/Items-de-transparencia/3.2.7.Informe-contractes-adjudicats-segons-procediment</v>
      </c>
      <c r="M9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1.0005620016212038</v>
      </c>
      <c r="N93" s="8" t="str">
        <f>Avaluacio[[#This Row],[Codi ítem]]</f>
        <v>XGO092</v>
      </c>
    </row>
    <row r="94" spans="1:14" ht="71.25" hidden="1" x14ac:dyDescent="0.2">
      <c r="A94" s="6" t="s">
        <v>1009</v>
      </c>
      <c r="B9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4" s="1" t="str">
        <f>VLOOKUP(Avaluacio[[#This Row],[Codi ítem]],Metodologia[[Codi ítem]:[Ítem]],COLUMN(Metodologia[[#Headers],[Ítem]]),FALSE)</f>
        <v>Personal adscrit pels concessionaris i retribucions</v>
      </c>
      <c r="D94" t="str">
        <f>VLOOKUP(Avaluacio[[#This Row],[Codi ítem]],Metodologia[[Codi ítem]:[Família]],COLUMN(Metodologia[[#Headers],[Família]]),FALSE)</f>
        <v>Contractes, convenis i subvencions</v>
      </c>
      <c r="E94" t="str">
        <f>VLOOKUP(Avaluacio[[#This Row],[Codi ítem]],Metodologia[[Codi ítem]:[Subfamília]],COLUMN(Metodologia[[#Headers],[Subfamília]]),FALSE)</f>
        <v>Informació de la contractació pública</v>
      </c>
      <c r="F94" s="6" t="str">
        <f>VLOOKUP(Avaluacio[[#This Row],[Codi ítem]],Metodologia[[Codi ítem]:[Fase]],COLUMN(Metodologia[[#Headers],[Fase]]),FALSE)</f>
        <v>Fase 3</v>
      </c>
      <c r="G94" s="54" t="s">
        <v>620</v>
      </c>
      <c r="H94" s="54" t="s">
        <v>620</v>
      </c>
      <c r="I94" s="55"/>
      <c r="J9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https://municat.gencat.cat/ca/Temes/Transparencia/Items-de-transparencia/3.2.8.Personal-adscrit-pels-concessionaris-retribucions</v>
      </c>
      <c r="M9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1.000339321733557</v>
      </c>
      <c r="N94" s="8" t="str">
        <f>Avaluacio[[#This Row],[Codi ítem]]</f>
        <v>XGO093</v>
      </c>
    </row>
    <row r="95" spans="1:14" ht="57" hidden="1" x14ac:dyDescent="0.2">
      <c r="A95" s="6" t="s">
        <v>1010</v>
      </c>
      <c r="B9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5" s="1" t="str">
        <f>VLOOKUP(Avaluacio[[#This Row],[Codi ítem]],Metodologia[[Codi ítem]:[Ítem]],COLUMN(Metodologia[[#Headers],[Ítem]]),FALSE)</f>
        <v>Convenis de col·laboració</v>
      </c>
      <c r="D95" t="str">
        <f>VLOOKUP(Avaluacio[[#This Row],[Codi ítem]],Metodologia[[Codi ítem]:[Família]],COLUMN(Metodologia[[#Headers],[Família]]),FALSE)</f>
        <v>Contractes, convenis i subvencions</v>
      </c>
      <c r="E95" t="str">
        <f>VLOOKUP(Avaluacio[[#This Row],[Codi ítem]],Metodologia[[Codi ítem]:[Subfamília]],COLUMN(Metodologia[[#Headers],[Subfamília]]),FALSE)</f>
        <v>Convenis i subvencions</v>
      </c>
      <c r="F95" s="6" t="str">
        <f>VLOOKUP(Avaluacio[[#This Row],[Codi ítem]],Metodologia[[Codi ítem]:[Fase]],COLUMN(Metodologia[[#Headers],[Fase]]),FALSE)</f>
        <v>Fase 1</v>
      </c>
      <c r="G95" s="54" t="s">
        <v>620</v>
      </c>
      <c r="H95" s="54" t="s">
        <v>620</v>
      </c>
      <c r="I95" s="55"/>
      <c r="J9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https://municat.gencat.cat/ca/Temes/Transparencia/Items-de-transparencia/3.3.1.Convenis-de-colaboracio</v>
      </c>
      <c r="M9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1.0043337747657737</v>
      </c>
      <c r="N95" s="8" t="str">
        <f>Avaluacio[[#This Row],[Codi ítem]]</f>
        <v>XGO094</v>
      </c>
    </row>
    <row r="96" spans="1:14" ht="57" hidden="1" x14ac:dyDescent="0.2">
      <c r="A96" s="6" t="s">
        <v>1011</v>
      </c>
      <c r="B9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6" s="1" t="str">
        <f>VLOOKUP(Avaluacio[[#This Row],[Codi ítem]],Metodologia[[Codi ítem]:[Ítem]],COLUMN(Metodologia[[#Headers],[Ítem]]),FALSE)</f>
        <v>Convenis urbanístics</v>
      </c>
      <c r="D96" t="str">
        <f>VLOOKUP(Avaluacio[[#This Row],[Codi ítem]],Metodologia[[Codi ítem]:[Família]],COLUMN(Metodologia[[#Headers],[Família]]),FALSE)</f>
        <v>Contractes, convenis i subvencions</v>
      </c>
      <c r="E96" t="str">
        <f>VLOOKUP(Avaluacio[[#This Row],[Codi ítem]],Metodologia[[Codi ítem]:[Subfamília]],COLUMN(Metodologia[[#Headers],[Subfamília]]),FALSE)</f>
        <v>Convenis i subvencions</v>
      </c>
      <c r="F96" s="6" t="str">
        <f>VLOOKUP(Avaluacio[[#This Row],[Codi ítem]],Metodologia[[Codi ítem]:[Fase]],COLUMN(Metodologia[[#Headers],[Fase]]),FALSE)</f>
        <v>Fase 1</v>
      </c>
      <c r="G96" s="54" t="s">
        <v>620</v>
      </c>
      <c r="H96" s="54" t="s">
        <v>620</v>
      </c>
      <c r="I96" s="55"/>
      <c r="J9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https://municat.gencat.cat/ca/Temes/Transparencia/Items-de-transparencia/3.3.2.Convenis-urbanistics</v>
      </c>
      <c r="M9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1.0008451231926405</v>
      </c>
      <c r="N96" s="8" t="str">
        <f>Avaluacio[[#This Row],[Codi ítem]]</f>
        <v>XGO095</v>
      </c>
    </row>
    <row r="97" spans="1:14" ht="57" hidden="1" x14ac:dyDescent="0.2">
      <c r="A97" s="6" t="s">
        <v>1012</v>
      </c>
      <c r="B9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7" s="1" t="str">
        <f>VLOOKUP(Avaluacio[[#This Row],[Codi ítem]],Metodologia[[Codi ítem]:[Ítem]],COLUMN(Metodologia[[#Headers],[Ítem]]),FALSE)</f>
        <v>Informació de l'execució dels convenis</v>
      </c>
      <c r="D97" t="str">
        <f>VLOOKUP(Avaluacio[[#This Row],[Codi ítem]],Metodologia[[Codi ítem]:[Família]],COLUMN(Metodologia[[#Headers],[Família]]),FALSE)</f>
        <v>Contractes, convenis i subvencions</v>
      </c>
      <c r="E97" t="str">
        <f>VLOOKUP(Avaluacio[[#This Row],[Codi ítem]],Metodologia[[Codi ítem]:[Subfamília]],COLUMN(Metodologia[[#Headers],[Subfamília]]),FALSE)</f>
        <v>Convenis i subvencions</v>
      </c>
      <c r="F97" s="6" t="str">
        <f>VLOOKUP(Avaluacio[[#This Row],[Codi ítem]],Metodologia[[Codi ítem]:[Fase]],COLUMN(Metodologia[[#Headers],[Fase]]),FALSE)</f>
        <v>Fase 4</v>
      </c>
      <c r="G97" s="54" t="s">
        <v>620</v>
      </c>
      <c r="H97" s="54" t="s">
        <v>620</v>
      </c>
      <c r="I97" s="55"/>
      <c r="J9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https://municat.gencat.cat/ca/Temes/Transparencia/Items-de-transparencia/3.3.3.Informacio-execucio-convenis</v>
      </c>
      <c r="M9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1.0003145795238184</v>
      </c>
      <c r="N97" s="8" t="str">
        <f>Avaluacio[[#This Row],[Codi ítem]]</f>
        <v>XGO096</v>
      </c>
    </row>
    <row r="98" spans="1:14" ht="57" hidden="1" x14ac:dyDescent="0.2">
      <c r="A98" s="6" t="s">
        <v>1013</v>
      </c>
      <c r="B9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8" s="1" t="str">
        <f>VLOOKUP(Avaluacio[[#This Row],[Codi ítem]],Metodologia[[Codi ítem]:[Ítem]],COLUMN(Metodologia[[#Headers],[Ítem]]),FALSE)</f>
        <v>Convocatòries de subvencions i ajuts</v>
      </c>
      <c r="D98" t="str">
        <f>VLOOKUP(Avaluacio[[#This Row],[Codi ítem]],Metodologia[[Codi ítem]:[Família]],COLUMN(Metodologia[[#Headers],[Família]]),FALSE)</f>
        <v>Contractes, convenis i subvencions</v>
      </c>
      <c r="E98" t="str">
        <f>VLOOKUP(Avaluacio[[#This Row],[Codi ítem]],Metodologia[[Codi ítem]:[Subfamília]],COLUMN(Metodologia[[#Headers],[Subfamília]]),FALSE)</f>
        <v>Convenis i subvencions</v>
      </c>
      <c r="F98" s="6" t="str">
        <f>VLOOKUP(Avaluacio[[#This Row],[Codi ítem]],Metodologia[[Codi ítem]:[Fase]],COLUMN(Metodologia[[#Headers],[Fase]]),FALSE)</f>
        <v>Fase 1</v>
      </c>
      <c r="G98" s="54" t="s">
        <v>620</v>
      </c>
      <c r="H98" s="54" t="s">
        <v>620</v>
      </c>
      <c r="I98" s="55"/>
      <c r="J9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9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9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https://municat.gencat.cat/ca/Temes/Transparencia/Items-de-transparencia/3.3.4.Convocatories-subvencions-ajuts</v>
      </c>
      <c r="M9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1.0109031849114936</v>
      </c>
      <c r="N98" s="8" t="str">
        <f>Avaluacio[[#This Row],[Codi ítem]]</f>
        <v>XGO097</v>
      </c>
    </row>
    <row r="99" spans="1:14" ht="57" hidden="1" x14ac:dyDescent="0.2">
      <c r="A99" s="6" t="s">
        <v>1014</v>
      </c>
      <c r="B9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99" s="1" t="str">
        <f>VLOOKUP(Avaluacio[[#This Row],[Codi ítem]],Metodologia[[Codi ítem]:[Ítem]],COLUMN(Metodologia[[#Headers],[Ítem]]),FALSE)</f>
        <v>Subvencions atorgades</v>
      </c>
      <c r="D99" t="str">
        <f>VLOOKUP(Avaluacio[[#This Row],[Codi ítem]],Metodologia[[Codi ítem]:[Família]],COLUMN(Metodologia[[#Headers],[Família]]),FALSE)</f>
        <v>Contractes, convenis i subvencions</v>
      </c>
      <c r="E99" t="str">
        <f>VLOOKUP(Avaluacio[[#This Row],[Codi ítem]],Metodologia[[Codi ítem]:[Subfamília]],COLUMN(Metodologia[[#Headers],[Subfamília]]),FALSE)</f>
        <v>Convenis i subvencions</v>
      </c>
      <c r="F99" s="6" t="str">
        <f>VLOOKUP(Avaluacio[[#This Row],[Codi ítem]],Metodologia[[Codi ítem]:[Fase]],COLUMN(Metodologia[[#Headers],[Fase]]),FALSE)</f>
        <v>Fase 1</v>
      </c>
      <c r="G99" s="54" t="s">
        <v>621</v>
      </c>
      <c r="H99" s="54" t="s">
        <v>621</v>
      </c>
      <c r="I99" s="55"/>
      <c r="J9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9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9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https://municat.gencat.cat/ca/Temes/Transparencia/Items-de-transparencia/3.3.5.Subvencions-atorgades</v>
      </c>
      <c r="M9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-4.0923614907534831E-3</v>
      </c>
      <c r="N99" s="8" t="str">
        <f>Avaluacio[[#This Row],[Codi ítem]]</f>
        <v>XGO098</v>
      </c>
    </row>
    <row r="100" spans="1:14" ht="42.75" hidden="1" x14ac:dyDescent="0.2">
      <c r="A100" s="6" t="s">
        <v>1015</v>
      </c>
      <c r="B10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0" s="1" t="str">
        <f>VLOOKUP(Avaluacio[[#This Row],[Codi ítem]],Metodologia[[Codi ítem]:[Ítem]],COLUMN(Metodologia[[#Headers],[Ítem]]),FALSE)</f>
        <v>Ajuts atorgats</v>
      </c>
      <c r="D100" t="str">
        <f>VLOOKUP(Avaluacio[[#This Row],[Codi ítem]],Metodologia[[Codi ítem]:[Família]],COLUMN(Metodologia[[#Headers],[Família]]),FALSE)</f>
        <v>Contractes, convenis i subvencions</v>
      </c>
      <c r="E100" t="str">
        <f>VLOOKUP(Avaluacio[[#This Row],[Codi ítem]],Metodologia[[Codi ítem]:[Subfamília]],COLUMN(Metodologia[[#Headers],[Subfamília]]),FALSE)</f>
        <v>Convenis i subvencions</v>
      </c>
      <c r="F100" s="6" t="str">
        <f>VLOOKUP(Avaluacio[[#This Row],[Codi ítem]],Metodologia[[Codi ítem]:[Fase]],COLUMN(Metodologia[[#Headers],[Fase]]),FALSE)</f>
        <v>Fase 1</v>
      </c>
      <c r="G100" s="54" t="s">
        <v>621</v>
      </c>
      <c r="H100" s="54" t="s">
        <v>621</v>
      </c>
      <c r="I100" s="55"/>
      <c r="J10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0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0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https://municat.gencat.cat/ca/Temes/Transparencia/Items-de-transparencia/3.3.6.Ajuts-atorgats</v>
      </c>
      <c r="M10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-1.4385827662261768E-3</v>
      </c>
      <c r="N100" s="8" t="str">
        <f>Avaluacio[[#This Row],[Codi ítem]]</f>
        <v>XGO099</v>
      </c>
    </row>
    <row r="101" spans="1:14" ht="60" hidden="1" x14ac:dyDescent="0.2">
      <c r="A101" s="6" t="s">
        <v>1016</v>
      </c>
      <c r="B10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1" s="1" t="str">
        <f>VLOOKUP(Avaluacio[[#This Row],[Codi ítem]],Metodologia[[Codi ítem]:[Ítem]],COLUMN(Metodologia[[#Headers],[Ítem]]),FALSE)</f>
        <v>Retribució dels directius beneficiaris de subvencions</v>
      </c>
      <c r="D101" t="str">
        <f>VLOOKUP(Avaluacio[[#This Row],[Codi ítem]],Metodologia[[Codi ítem]:[Família]],COLUMN(Metodologia[[#Headers],[Família]]),FALSE)</f>
        <v>Contractes, convenis i subvencions</v>
      </c>
      <c r="E101" t="str">
        <f>VLOOKUP(Avaluacio[[#This Row],[Codi ítem]],Metodologia[[Codi ítem]:[Subfamília]],COLUMN(Metodologia[[#Headers],[Subfamília]]),FALSE)</f>
        <v>Convenis i subvencions</v>
      </c>
      <c r="F101" s="6" t="str">
        <f>VLOOKUP(Avaluacio[[#This Row],[Codi ítem]],Metodologia[[Codi ítem]:[Fase]],COLUMN(Metodologia[[#Headers],[Fase]]),FALSE)</f>
        <v>Fase 4</v>
      </c>
      <c r="G101" s="54" t="s">
        <v>620</v>
      </c>
      <c r="H101" s="54" t="s">
        <v>620</v>
      </c>
      <c r="I101" s="55"/>
      <c r="J10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https://municat.gencat.cat/ca/Temes/Transparencia/Items-de-transparencia/3.3.7.Retribucio-directius-beneficiaris-subvencions</v>
      </c>
      <c r="M10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1.0001965238373518</v>
      </c>
      <c r="N101" s="8" t="str">
        <f>Avaluacio[[#This Row],[Codi ítem]]</f>
        <v>XGO100</v>
      </c>
    </row>
    <row r="102" spans="1:14" ht="42.75" hidden="1" x14ac:dyDescent="0.2">
      <c r="A102" s="6" t="s">
        <v>1017</v>
      </c>
      <c r="B10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2" s="1" t="str">
        <f>VLOOKUP(Avaluacio[[#This Row],[Codi ítem]],Metodologia[[Codi ítem]:[Ítem]],COLUMN(Metodologia[[#Headers],[Ítem]]),FALSE)</f>
        <v>Pressupost</v>
      </c>
      <c r="D102" t="str">
        <f>VLOOKUP(Avaluacio[[#This Row],[Codi ítem]],Metodologia[[Codi ítem]:[Família]],COLUMN(Metodologia[[#Headers],[Família]]),FALSE)</f>
        <v>Gestió econòmica</v>
      </c>
      <c r="E102" t="str">
        <f>VLOOKUP(Avaluacio[[#This Row],[Codi ítem]],Metodologia[[Codi ítem]:[Subfamília]],COLUMN(Metodologia[[#Headers],[Subfamília]]),FALSE)</f>
        <v>Pressupost</v>
      </c>
      <c r="F102" s="6" t="str">
        <f>VLOOKUP(Avaluacio[[#This Row],[Codi ítem]],Metodologia[[Codi ítem]:[Fase]],COLUMN(Metodologia[[#Headers],[Fase]]),FALSE)</f>
        <v>Fase 1</v>
      </c>
      <c r="G102" s="54" t="s">
        <v>620</v>
      </c>
      <c r="H102" s="54" t="s">
        <v>620</v>
      </c>
      <c r="I102" s="55"/>
      <c r="J10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https://municat.gencat.cat/ca/Temes/Transparencia/Items-de-transparencia/4.1.1.Pressupost</v>
      </c>
      <c r="M10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1.0140203498784097</v>
      </c>
      <c r="N102" s="8" t="str">
        <f>Avaluacio[[#This Row],[Codi ítem]]</f>
        <v>XGO101</v>
      </c>
    </row>
    <row r="103" spans="1:14" ht="57" hidden="1" x14ac:dyDescent="0.2">
      <c r="A103" s="6" t="s">
        <v>1018</v>
      </c>
      <c r="B10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3" s="1" t="str">
        <f>VLOOKUP(Avaluacio[[#This Row],[Codi ítem]],Metodologia[[Codi ítem]:[Ítem]],COLUMN(Metodologia[[#Headers],[Ítem]]),FALSE)</f>
        <v>Execució pressupostària trimestral</v>
      </c>
      <c r="D103" t="str">
        <f>VLOOKUP(Avaluacio[[#This Row],[Codi ítem]],Metodologia[[Codi ítem]:[Família]],COLUMN(Metodologia[[#Headers],[Família]]),FALSE)</f>
        <v>Gestió econòmica</v>
      </c>
      <c r="E103" t="str">
        <f>VLOOKUP(Avaluacio[[#This Row],[Codi ítem]],Metodologia[[Codi ítem]:[Subfamília]],COLUMN(Metodologia[[#Headers],[Subfamília]]),FALSE)</f>
        <v>Pressupost</v>
      </c>
      <c r="F103" s="6" t="str">
        <f>VLOOKUP(Avaluacio[[#This Row],[Codi ítem]],Metodologia[[Codi ítem]:[Fase]],COLUMN(Metodologia[[#Headers],[Fase]]),FALSE)</f>
        <v>Fase 3</v>
      </c>
      <c r="G103" s="54" t="s">
        <v>620</v>
      </c>
      <c r="H103" s="54" t="s">
        <v>620</v>
      </c>
      <c r="I103" s="55"/>
      <c r="J10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https://municat.gencat.cat/ca/Temes/Transparencia/Items-de-transparencia/4.1.2.Execucio-pressupostaria-trimestral</v>
      </c>
      <c r="M10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1.0020521895677419</v>
      </c>
      <c r="N103" s="8" t="str">
        <f>Avaluacio[[#This Row],[Codi ítem]]</f>
        <v>XGO102</v>
      </c>
    </row>
    <row r="104" spans="1:14" ht="57" hidden="1" x14ac:dyDescent="0.2">
      <c r="A104" s="6" t="s">
        <v>1019</v>
      </c>
      <c r="B10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4" s="1" t="str">
        <f>VLOOKUP(Avaluacio[[#This Row],[Codi ítem]],Metodologia[[Codi ítem]:[Ítem]],COLUMN(Metodologia[[#Headers],[Ítem]]),FALSE)</f>
        <v>Liquidació del pressupost</v>
      </c>
      <c r="D104" t="str">
        <f>VLOOKUP(Avaluacio[[#This Row],[Codi ítem]],Metodologia[[Codi ítem]:[Família]],COLUMN(Metodologia[[#Headers],[Família]]),FALSE)</f>
        <v>Gestió econòmica</v>
      </c>
      <c r="E104" t="str">
        <f>VLOOKUP(Avaluacio[[#This Row],[Codi ítem]],Metodologia[[Codi ítem]:[Subfamília]],COLUMN(Metodologia[[#Headers],[Subfamília]]),FALSE)</f>
        <v>Pressupost</v>
      </c>
      <c r="F104" s="6" t="str">
        <f>VLOOKUP(Avaluacio[[#This Row],[Codi ítem]],Metodologia[[Codi ítem]:[Fase]],COLUMN(Metodologia[[#Headers],[Fase]]),FALSE)</f>
        <v>Fase 1</v>
      </c>
      <c r="G104" s="54" t="s">
        <v>620</v>
      </c>
      <c r="H104" s="54" t="s">
        <v>620</v>
      </c>
      <c r="I104" s="55"/>
      <c r="J10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https://municat.gencat.cat/ca/Temes/Transparencia/Items-de-transparencia/4.1.3.Liquidacio-pressupost</v>
      </c>
      <c r="M10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1.0053948621034177</v>
      </c>
      <c r="N104" s="8" t="str">
        <f>Avaluacio[[#This Row],[Codi ítem]]</f>
        <v>XGO103</v>
      </c>
    </row>
    <row r="105" spans="1:14" ht="42.75" hidden="1" x14ac:dyDescent="0.2">
      <c r="A105" s="6" t="s">
        <v>1020</v>
      </c>
      <c r="B10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5" s="1" t="str">
        <f>VLOOKUP(Avaluacio[[#This Row],[Codi ítem]],Metodologia[[Codi ítem]:[Ítem]],COLUMN(Metodologia[[#Headers],[Ítem]]),FALSE)</f>
        <v>Compte general</v>
      </c>
      <c r="D105" t="str">
        <f>VLOOKUP(Avaluacio[[#This Row],[Codi ítem]],Metodologia[[Codi ítem]:[Família]],COLUMN(Metodologia[[#Headers],[Família]]),FALSE)</f>
        <v>Gestió econòmica</v>
      </c>
      <c r="E105" t="str">
        <f>VLOOKUP(Avaluacio[[#This Row],[Codi ítem]],Metodologia[[Codi ítem]:[Subfamília]],COLUMN(Metodologia[[#Headers],[Subfamília]]),FALSE)</f>
        <v>Pressupost</v>
      </c>
      <c r="F105" s="6" t="str">
        <f>VLOOKUP(Avaluacio[[#This Row],[Codi ítem]],Metodologia[[Codi ítem]:[Fase]],COLUMN(Metodologia[[#Headers],[Fase]]),FALSE)</f>
        <v>Fase 1</v>
      </c>
      <c r="G105" s="54" t="s">
        <v>620</v>
      </c>
      <c r="H105" s="54" t="s">
        <v>620</v>
      </c>
      <c r="I105" s="55"/>
      <c r="J10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https://municat.gencat.cat/ca/Temes/Transparencia/Items-de-transparencia/4.1.4.Compte-general</v>
      </c>
      <c r="M10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1.0023271815559787</v>
      </c>
      <c r="N105" s="8" t="str">
        <f>Avaluacio[[#This Row],[Codi ítem]]</f>
        <v>XGO104</v>
      </c>
    </row>
    <row r="106" spans="1:14" ht="57" hidden="1" x14ac:dyDescent="0.2">
      <c r="A106" s="6" t="s">
        <v>1021</v>
      </c>
      <c r="B10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6" s="1" t="str">
        <f>VLOOKUP(Avaluacio[[#This Row],[Codi ítem]],Metodologia[[Codi ítem]:[Ítem]],COLUMN(Metodologia[[#Headers],[Ítem]]),FALSE)</f>
        <v>Modificació de pressupostos</v>
      </c>
      <c r="D106" t="str">
        <f>VLOOKUP(Avaluacio[[#This Row],[Codi ítem]],Metodologia[[Codi ítem]:[Família]],COLUMN(Metodologia[[#Headers],[Família]]),FALSE)</f>
        <v>Gestió econòmica</v>
      </c>
      <c r="E106" t="str">
        <f>VLOOKUP(Avaluacio[[#This Row],[Codi ítem]],Metodologia[[Codi ítem]:[Subfamília]],COLUMN(Metodologia[[#Headers],[Subfamília]]),FALSE)</f>
        <v>Pressupost</v>
      </c>
      <c r="F106" s="6" t="str">
        <f>VLOOKUP(Avaluacio[[#This Row],[Codi ítem]],Metodologia[[Codi ítem]:[Fase]],COLUMN(Metodologia[[#Headers],[Fase]]),FALSE)</f>
        <v>Fase 1</v>
      </c>
      <c r="G106" s="54" t="s">
        <v>620</v>
      </c>
      <c r="H106" s="54" t="s">
        <v>620</v>
      </c>
      <c r="I106" s="55"/>
      <c r="J10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https://municat.gencat.cat/ca/Temes/Transparencia/Items-de-transparencia/4.1.5.Modificacio-de-pressupostos</v>
      </c>
      <c r="M10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1.0013374931664374</v>
      </c>
      <c r="N106" s="8" t="str">
        <f>Avaluacio[[#This Row],[Codi ítem]]</f>
        <v>XGO105</v>
      </c>
    </row>
    <row r="107" spans="1:14" ht="60" hidden="1" x14ac:dyDescent="0.2">
      <c r="A107" s="6" t="s">
        <v>1022</v>
      </c>
      <c r="B10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7" s="1" t="str">
        <f>VLOOKUP(Avaluacio[[#This Row],[Codi ítem]],Metodologia[[Codi ítem]:[Ítem]],COLUMN(Metodologia[[#Headers],[Ítem]]),FALSE)</f>
        <v>Compliment dels objectius d’estabilitat pressupostària</v>
      </c>
      <c r="D107" t="str">
        <f>VLOOKUP(Avaluacio[[#This Row],[Codi ítem]],Metodologia[[Codi ítem]:[Família]],COLUMN(Metodologia[[#Headers],[Família]]),FALSE)</f>
        <v>Gestió econòmica</v>
      </c>
      <c r="E107" t="str">
        <f>VLOOKUP(Avaluacio[[#This Row],[Codi ítem]],Metodologia[[Codi ítem]:[Subfamília]],COLUMN(Metodologia[[#Headers],[Subfamília]]),FALSE)</f>
        <v>Pressupost</v>
      </c>
      <c r="F107" s="6" t="str">
        <f>VLOOKUP(Avaluacio[[#This Row],[Codi ítem]],Metodologia[[Codi ítem]:[Fase]],COLUMN(Metodologia[[#Headers],[Fase]]),FALSE)</f>
        <v>Fase 1</v>
      </c>
      <c r="G107" s="54" t="s">
        <v>620</v>
      </c>
      <c r="H107" s="54" t="s">
        <v>620</v>
      </c>
      <c r="I107" s="55"/>
      <c r="J10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https://municat.gencat.cat/ca/Temes/Transparencia/Items-de-transparencia/4.1.6.Compliment-objectius-estabilitat-pressupostaria</v>
      </c>
      <c r="M10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1.0010116029181668</v>
      </c>
      <c r="N107" s="8" t="str">
        <f>Avaluacio[[#This Row],[Codi ítem]]</f>
        <v>XGO106</v>
      </c>
    </row>
    <row r="108" spans="1:14" ht="57" hidden="1" x14ac:dyDescent="0.2">
      <c r="A108" s="6" t="s">
        <v>1023</v>
      </c>
      <c r="B10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8" s="1" t="str">
        <f>VLOOKUP(Avaluacio[[#This Row],[Codi ítem]],Metodologia[[Codi ítem]:[Ítem]],COLUMN(Metodologia[[#Headers],[Ítem]]),FALSE)</f>
        <v>Informació de les campanyes institucionals</v>
      </c>
      <c r="D108" t="str">
        <f>VLOOKUP(Avaluacio[[#This Row],[Codi ítem]],Metodologia[[Codi ítem]:[Família]],COLUMN(Metodologia[[#Headers],[Família]]),FALSE)</f>
        <v>Gestió econòmica</v>
      </c>
      <c r="E108" t="str">
        <f>VLOOKUP(Avaluacio[[#This Row],[Codi ítem]],Metodologia[[Codi ítem]:[Subfamília]],COLUMN(Metodologia[[#Headers],[Subfamília]]),FALSE)</f>
        <v>Pressupost</v>
      </c>
      <c r="F108" s="6" t="str">
        <f>VLOOKUP(Avaluacio[[#This Row],[Codi ítem]],Metodologia[[Codi ítem]:[Fase]],COLUMN(Metodologia[[#Headers],[Fase]]),FALSE)</f>
        <v>Fase 4</v>
      </c>
      <c r="G108" s="54" t="s">
        <v>620</v>
      </c>
      <c r="H108" s="54" t="s">
        <v>620</v>
      </c>
      <c r="I108" s="55"/>
      <c r="J10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https://municat.gencat.cat/ca/Temes/Transparencia/Items-de-transparencia/4.1.7.Cost-campanyes-institucionals</v>
      </c>
      <c r="M10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1.0010091286971932</v>
      </c>
      <c r="N108" s="8" t="str">
        <f>Avaluacio[[#This Row],[Codi ítem]]</f>
        <v>XGO107</v>
      </c>
    </row>
    <row r="109" spans="1:14" ht="42.75" hidden="1" x14ac:dyDescent="0.2">
      <c r="A109" s="6" t="s">
        <v>1024</v>
      </c>
      <c r="B10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09" s="1" t="str">
        <f>VLOOKUP(Avaluacio[[#This Row],[Codi ítem]],Metodologia[[Codi ítem]:[Ítem]],COLUMN(Metodologia[[#Headers],[Ítem]]),FALSE)</f>
        <v>Endeutament</v>
      </c>
      <c r="D109" t="str">
        <f>VLOOKUP(Avaluacio[[#This Row],[Codi ítem]],Metodologia[[Codi ítem]:[Família]],COLUMN(Metodologia[[#Headers],[Família]]),FALSE)</f>
        <v>Gestió econòmica</v>
      </c>
      <c r="E109" t="str">
        <f>VLOOKUP(Avaluacio[[#This Row],[Codi ítem]],Metodologia[[Codi ítem]:[Subfamília]],COLUMN(Metodologia[[#Headers],[Subfamília]]),FALSE)</f>
        <v>Gestió econòmica</v>
      </c>
      <c r="F109" s="6" t="str">
        <f>VLOOKUP(Avaluacio[[#This Row],[Codi ítem]],Metodologia[[Codi ítem]:[Fase]],COLUMN(Metodologia[[#Headers],[Fase]]),FALSE)</f>
        <v>Fase 1</v>
      </c>
      <c r="G109" s="54" t="s">
        <v>620</v>
      </c>
      <c r="H109" s="54" t="s">
        <v>620</v>
      </c>
      <c r="I109" s="55"/>
      <c r="J10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0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0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https://municat.gencat.cat/ca/Temes/Transparencia/Items-de-transparencia/4.2.1.Endeutament</v>
      </c>
      <c r="M10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1.0014937225479292</v>
      </c>
      <c r="N109" s="8" t="str">
        <f>Avaluacio[[#This Row],[Codi ítem]]</f>
        <v>XGO108</v>
      </c>
    </row>
    <row r="110" spans="1:14" ht="57" hidden="1" x14ac:dyDescent="0.2">
      <c r="A110" s="6" t="s">
        <v>1025</v>
      </c>
      <c r="B11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0" s="1" t="str">
        <f>VLOOKUP(Avaluacio[[#This Row],[Codi ítem]],Metodologia[[Codi ítem]:[Ítem]],COLUMN(Metodologia[[#Headers],[Ítem]]),FALSE)</f>
        <v>Període mitjà de Pagament a Proveïdors (PMP)</v>
      </c>
      <c r="D110" t="str">
        <f>VLOOKUP(Avaluacio[[#This Row],[Codi ítem]],Metodologia[[Codi ítem]:[Família]],COLUMN(Metodologia[[#Headers],[Família]]),FALSE)</f>
        <v>Gestió econòmica</v>
      </c>
      <c r="E110" t="str">
        <f>VLOOKUP(Avaluacio[[#This Row],[Codi ítem]],Metodologia[[Codi ítem]:[Subfamília]],COLUMN(Metodologia[[#Headers],[Subfamília]]),FALSE)</f>
        <v>Gestió econòmica</v>
      </c>
      <c r="F110" s="6" t="str">
        <f>VLOOKUP(Avaluacio[[#This Row],[Codi ítem]],Metodologia[[Codi ítem]:[Fase]],COLUMN(Metodologia[[#Headers],[Fase]]),FALSE)</f>
        <v>Fase 1</v>
      </c>
      <c r="G110" s="54" t="s">
        <v>620</v>
      </c>
      <c r="H110" s="54" t="s">
        <v>620</v>
      </c>
      <c r="I110" s="55"/>
      <c r="J11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https://municat.gencat.cat/ca/Temes/Transparencia/Items-de-transparencia/4.2.2.Termini-pagament-proveidors</v>
      </c>
      <c r="M11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1.0000063622825042</v>
      </c>
      <c r="N110" s="8" t="str">
        <f>Avaluacio[[#This Row],[Codi ítem]]</f>
        <v>XGO109</v>
      </c>
    </row>
    <row r="111" spans="1:14" ht="57" hidden="1" x14ac:dyDescent="0.2">
      <c r="A111" s="6" t="s">
        <v>1026</v>
      </c>
      <c r="B11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1" s="1" t="str">
        <f>VLOOKUP(Avaluacio[[#This Row],[Codi ítem]],Metodologia[[Codi ítem]:[Ítem]],COLUMN(Metodologia[[#Headers],[Ítem]]),FALSE)</f>
        <v>Auditories de comptes</v>
      </c>
      <c r="D111" t="str">
        <f>VLOOKUP(Avaluacio[[#This Row],[Codi ítem]],Metodologia[[Codi ítem]:[Família]],COLUMN(Metodologia[[#Headers],[Família]]),FALSE)</f>
        <v>Gestió econòmica</v>
      </c>
      <c r="E111" t="str">
        <f>VLOOKUP(Avaluacio[[#This Row],[Codi ítem]],Metodologia[[Codi ítem]:[Subfamília]],COLUMN(Metodologia[[#Headers],[Subfamília]]),FALSE)</f>
        <v>Gestió econòmica</v>
      </c>
      <c r="F111" s="6" t="str">
        <f>VLOOKUP(Avaluacio[[#This Row],[Codi ítem]],Metodologia[[Codi ítem]:[Fase]],COLUMN(Metodologia[[#Headers],[Fase]]),FALSE)</f>
        <v>Fase 2</v>
      </c>
      <c r="G111" s="54" t="s">
        <v>620</v>
      </c>
      <c r="H111" s="54" t="s">
        <v>620</v>
      </c>
      <c r="I111" s="55"/>
      <c r="J11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https://municat.gencat.cat/ca/Temes/Transparencia/Items-de-transparencia/4.2.3.Auditories-de-comptes</v>
      </c>
      <c r="M11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1.0010317501460968</v>
      </c>
      <c r="N111" s="8" t="str">
        <f>Avaluacio[[#This Row],[Codi ítem]]</f>
        <v>XGO110</v>
      </c>
    </row>
    <row r="112" spans="1:14" ht="57" hidden="1" x14ac:dyDescent="0.2">
      <c r="A112" s="6" t="s">
        <v>1027</v>
      </c>
      <c r="B11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2" s="1" t="str">
        <f>VLOOKUP(Avaluacio[[#This Row],[Codi ítem]],Metodologia[[Codi ítem]:[Ítem]],COLUMN(Metodologia[[#Headers],[Ítem]]),FALSE)</f>
        <v>Indicadors de gestió econòmica</v>
      </c>
      <c r="D112" t="str">
        <f>VLOOKUP(Avaluacio[[#This Row],[Codi ítem]],Metodologia[[Codi ítem]:[Família]],COLUMN(Metodologia[[#Headers],[Família]]),FALSE)</f>
        <v>Gestió econòmica</v>
      </c>
      <c r="E112" t="str">
        <f>VLOOKUP(Avaluacio[[#This Row],[Codi ítem]],Metodologia[[Codi ítem]:[Subfamília]],COLUMN(Metodologia[[#Headers],[Subfamília]]),FALSE)</f>
        <v>Gestió econòmica</v>
      </c>
      <c r="F112" s="6" t="str">
        <f>VLOOKUP(Avaluacio[[#This Row],[Codi ítem]],Metodologia[[Codi ítem]:[Fase]],COLUMN(Metodologia[[#Headers],[Fase]]),FALSE)</f>
        <v>Fase 1</v>
      </c>
      <c r="G112" s="54" t="s">
        <v>620</v>
      </c>
      <c r="H112" s="54" t="s">
        <v>620</v>
      </c>
      <c r="I112" s="55"/>
      <c r="J11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https://municat.gencat.cat/ca/Temes/Transparencia/Items-de-transparencia/4.2.4.Indicadors-gestio-economica</v>
      </c>
      <c r="M11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1.0007493354949384</v>
      </c>
      <c r="N112" s="8" t="str">
        <f>Avaluacio[[#This Row],[Codi ítem]]</f>
        <v>XGO111</v>
      </c>
    </row>
    <row r="113" spans="1:14" ht="57" x14ac:dyDescent="0.2">
      <c r="A113" s="6" t="s">
        <v>1028</v>
      </c>
      <c r="B11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3" s="1" t="str">
        <f>VLOOKUP(Avaluacio[[#This Row],[Codi ítem]],Metodologia[[Codi ítem]:[Ítem]],COLUMN(Metodologia[[#Headers],[Ítem]]),FALSE)</f>
        <v>Cost efectiu dels serveis</v>
      </c>
      <c r="D113" t="str">
        <f>VLOOKUP(Avaluacio[[#This Row],[Codi ítem]],Metodologia[[Codi ítem]:[Família]],COLUMN(Metodologia[[#Headers],[Família]]),FALSE)</f>
        <v>Gestió econòmica</v>
      </c>
      <c r="E113" t="str">
        <f>VLOOKUP(Avaluacio[[#This Row],[Codi ítem]],Metodologia[[Codi ítem]:[Subfamília]],COLUMN(Metodologia[[#Headers],[Subfamília]]),FALSE)</f>
        <v>Gestió econòmica</v>
      </c>
      <c r="F113" s="6" t="str">
        <f>VLOOKUP(Avaluacio[[#This Row],[Codi ítem]],Metodologia[[Codi ítem]:[Fase]],COLUMN(Metodologia[[#Headers],[Fase]]),FALSE)</f>
        <v>Fase 5</v>
      </c>
      <c r="G113" s="54" t="s">
        <v>620</v>
      </c>
      <c r="H113" s="54" t="s">
        <v>620</v>
      </c>
      <c r="I113" s="55"/>
      <c r="J11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https://municat.gencat.cat/ca/Temes/Transparencia/Items-de-transparencia/4.2.5.Cost-efectiu-serveis</v>
      </c>
      <c r="M11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1.0011558146549286</v>
      </c>
      <c r="N113" s="8" t="str">
        <f>Avaluacio[[#This Row],[Codi ítem]]</f>
        <v>XGO112</v>
      </c>
    </row>
    <row r="114" spans="1:14" ht="57" hidden="1" x14ac:dyDescent="0.2">
      <c r="A114" s="6" t="s">
        <v>1029</v>
      </c>
      <c r="B11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4" s="1" t="str">
        <f>VLOOKUP(Avaluacio[[#This Row],[Codi ítem]],Metodologia[[Codi ítem]:[Ítem]],COLUMN(Metodologia[[#Headers],[Ítem]]),FALSE)</f>
        <v>Pla anual de control financer</v>
      </c>
      <c r="D114" t="str">
        <f>VLOOKUP(Avaluacio[[#This Row],[Codi ítem]],Metodologia[[Codi ítem]:[Família]],COLUMN(Metodologia[[#Headers],[Família]]),FALSE)</f>
        <v>Gestió econòmica</v>
      </c>
      <c r="E114" t="str">
        <f>VLOOKUP(Avaluacio[[#This Row],[Codi ítem]],Metodologia[[Codi ítem]:[Subfamília]],COLUMN(Metodologia[[#Headers],[Subfamília]]),FALSE)</f>
        <v>Gestió econòmica</v>
      </c>
      <c r="F114" s="6" t="str">
        <f>VLOOKUP(Avaluacio[[#This Row],[Codi ítem]],Metodologia[[Codi ítem]:[Fase]],COLUMN(Metodologia[[#Headers],[Fase]]),FALSE)</f>
        <v>Fase 3</v>
      </c>
      <c r="G114" s="54" t="s">
        <v>620</v>
      </c>
      <c r="H114" s="54" t="s">
        <v>620</v>
      </c>
      <c r="I114" s="55"/>
      <c r="J11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https://municat.gencat.cat/ca/Temes/Transparencia/Items-de-transparencia/4.2.6.Pla-anual-control-financer</v>
      </c>
      <c r="M11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1.0003909269138689</v>
      </c>
      <c r="N114" s="8" t="str">
        <f>Avaluacio[[#This Row],[Codi ítem]]</f>
        <v>XGO113</v>
      </c>
    </row>
    <row r="115" spans="1:14" ht="57" hidden="1" x14ac:dyDescent="0.2">
      <c r="A115" s="6" t="s">
        <v>1030</v>
      </c>
      <c r="B11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5" s="1" t="str">
        <f>VLOOKUP(Avaluacio[[#This Row],[Codi ítem]],Metodologia[[Codi ítem]:[Ítem]],COLUMN(Metodologia[[#Headers],[Ítem]]),FALSE)</f>
        <v>Inventari general del patrimoni</v>
      </c>
      <c r="D115" t="str">
        <f>VLOOKUP(Avaluacio[[#This Row],[Codi ítem]],Metodologia[[Codi ítem]:[Família]],COLUMN(Metodologia[[#Headers],[Família]]),FALSE)</f>
        <v>Gestió econòmica</v>
      </c>
      <c r="E115" t="str">
        <f>VLOOKUP(Avaluacio[[#This Row],[Codi ítem]],Metodologia[[Codi ítem]:[Subfamília]],COLUMN(Metodologia[[#Headers],[Subfamília]]),FALSE)</f>
        <v>Patrimoni</v>
      </c>
      <c r="F115" s="6" t="str">
        <f>VLOOKUP(Avaluacio[[#This Row],[Codi ítem]],Metodologia[[Codi ítem]:[Fase]],COLUMN(Metodologia[[#Headers],[Fase]]),FALSE)</f>
        <v>Fase 2</v>
      </c>
      <c r="G115" s="54" t="s">
        <v>621</v>
      </c>
      <c r="H115" s="54" t="s">
        <v>621</v>
      </c>
      <c r="I115" s="55"/>
      <c r="J11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1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1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https://municat.gencat.cat/ca/Temes/Transparencia/Items-de-transparencia/4.3.1.Inventari-general-patrimoni</v>
      </c>
      <c r="M11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-2.8796397534262066E-3</v>
      </c>
      <c r="N115" s="8" t="str">
        <f>Avaluacio[[#This Row],[Codi ítem]]</f>
        <v>XGO114</v>
      </c>
    </row>
    <row r="116" spans="1:14" ht="57" hidden="1" x14ac:dyDescent="0.2">
      <c r="A116" s="6" t="s">
        <v>1031</v>
      </c>
      <c r="B11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6" s="1" t="str">
        <f>VLOOKUP(Avaluacio[[#This Row],[Codi ítem]],Metodologia[[Codi ítem]:[Ítem]],COLUMN(Metodologia[[#Headers],[Ítem]]),FALSE)</f>
        <v>Inventari de béns mobles de valor històric i artístic</v>
      </c>
      <c r="D116" t="str">
        <f>VLOOKUP(Avaluacio[[#This Row],[Codi ítem]],Metodologia[[Codi ítem]:[Família]],COLUMN(Metodologia[[#Headers],[Família]]),FALSE)</f>
        <v>Gestió econòmica</v>
      </c>
      <c r="E116" t="str">
        <f>VLOOKUP(Avaluacio[[#This Row],[Codi ítem]],Metodologia[[Codi ítem]:[Subfamília]],COLUMN(Metodologia[[#Headers],[Subfamília]]),FALSE)</f>
        <v>Patrimoni</v>
      </c>
      <c r="F116" s="6" t="str">
        <f>VLOOKUP(Avaluacio[[#This Row],[Codi ítem]],Metodologia[[Codi ítem]:[Fase]],COLUMN(Metodologia[[#Headers],[Fase]]),FALSE)</f>
        <v>Fase 2</v>
      </c>
      <c r="G116" s="54" t="s">
        <v>621</v>
      </c>
      <c r="H116" s="54" t="s">
        <v>621</v>
      </c>
      <c r="I116" s="55"/>
      <c r="J11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1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1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https://municat.gencat.cat/ca/Temes/Transparencia/Items-de-transparencia/4.3.2.Inventari-bens-mobles-valor-historic-artistic</v>
      </c>
      <c r="M11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-7.4721473410371928E-4</v>
      </c>
      <c r="N116" s="8" t="str">
        <f>Avaluacio[[#This Row],[Codi ítem]]</f>
        <v>XGO115</v>
      </c>
    </row>
    <row r="117" spans="1:14" ht="57" hidden="1" x14ac:dyDescent="0.2">
      <c r="A117" s="6" t="s">
        <v>1032</v>
      </c>
      <c r="B11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7" s="1" t="str">
        <f>VLOOKUP(Avaluacio[[#This Row],[Codi ítem]],Metodologia[[Codi ítem]:[Ítem]],COLUMN(Metodologia[[#Headers],[Ítem]]),FALSE)</f>
        <v>Inventari de vehicles oficials</v>
      </c>
      <c r="D117" t="str">
        <f>VLOOKUP(Avaluacio[[#This Row],[Codi ítem]],Metodologia[[Codi ítem]:[Família]],COLUMN(Metodologia[[#Headers],[Família]]),FALSE)</f>
        <v>Gestió econòmica</v>
      </c>
      <c r="E117" t="str">
        <f>VLOOKUP(Avaluacio[[#This Row],[Codi ítem]],Metodologia[[Codi ítem]:[Subfamília]],COLUMN(Metodologia[[#Headers],[Subfamília]]),FALSE)</f>
        <v>Patrimoni</v>
      </c>
      <c r="F117" s="6" t="str">
        <f>VLOOKUP(Avaluacio[[#This Row],[Codi ítem]],Metodologia[[Codi ítem]:[Fase]],COLUMN(Metodologia[[#Headers],[Fase]]),FALSE)</f>
        <v>Fase 2</v>
      </c>
      <c r="G117" s="54" t="s">
        <v>620</v>
      </c>
      <c r="H117" s="54" t="s">
        <v>620</v>
      </c>
      <c r="I117" s="55"/>
      <c r="J11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https://municat.gencat.cat/ca/Temes/Transparencia/Items-de-transparencia/4.3.3.Inventari-vehicles-oficials</v>
      </c>
      <c r="M11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1.0007892764906592</v>
      </c>
      <c r="N117" s="8" t="str">
        <f>Avaluacio[[#This Row],[Codi ítem]]</f>
        <v>XGO116</v>
      </c>
    </row>
    <row r="118" spans="1:14" ht="57" hidden="1" x14ac:dyDescent="0.2">
      <c r="A118" s="6" t="s">
        <v>1033</v>
      </c>
      <c r="B11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8" s="1" t="str">
        <f>VLOOKUP(Avaluacio[[#This Row],[Codi ítem]],Metodologia[[Codi ítem]:[Ítem]],COLUMN(Metodologia[[#Headers],[Ítem]]),FALSE)</f>
        <v>Informació relativa a la gestió del patrimoni</v>
      </c>
      <c r="D118" t="str">
        <f>VLOOKUP(Avaluacio[[#This Row],[Codi ítem]],Metodologia[[Codi ítem]:[Família]],COLUMN(Metodologia[[#Headers],[Família]]),FALSE)</f>
        <v>Gestió econòmica</v>
      </c>
      <c r="E118" t="str">
        <f>VLOOKUP(Avaluacio[[#This Row],[Codi ítem]],Metodologia[[Codi ítem]:[Subfamília]],COLUMN(Metodologia[[#Headers],[Subfamília]]),FALSE)</f>
        <v>Patrimoni</v>
      </c>
      <c r="F118" s="6" t="str">
        <f>VLOOKUP(Avaluacio[[#This Row],[Codi ítem]],Metodologia[[Codi ítem]:[Fase]],COLUMN(Metodologia[[#Headers],[Fase]]),FALSE)</f>
        <v>Fase 2</v>
      </c>
      <c r="G118" s="54" t="s">
        <v>620</v>
      </c>
      <c r="H118" s="54" t="s">
        <v>620</v>
      </c>
      <c r="I118" s="55"/>
      <c r="J11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https://municat.gencat.cat/ca/Temes/Transparencia/Items-de-transparencia/4.3.4.Informacio-gestio-patrimoni</v>
      </c>
      <c r="M11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1.000577200407186</v>
      </c>
      <c r="N118" s="8" t="str">
        <f>Avaluacio[[#This Row],[Codi ítem]]</f>
        <v>XGO117</v>
      </c>
    </row>
    <row r="119" spans="1:14" ht="57" x14ac:dyDescent="0.2">
      <c r="A119" s="6" t="s">
        <v>1035</v>
      </c>
      <c r="B11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19" s="1" t="str">
        <f>VLOOKUP(Avaluacio[[#This Row],[Codi ítem]],Metodologia[[Codi ítem]:[Ítem]],COLUMN(Metodologia[[#Headers],[Ítem]]),FALSE)</f>
        <v>Incidències de serveis</v>
      </c>
      <c r="D119" t="str">
        <f>VLOOKUP(Avaluacio[[#This Row],[Codi ítem]],Metodologia[[Codi ítem]:[Família]],COLUMN(Metodologia[[#Headers],[Família]]),FALSE)</f>
        <v>Serveis i tràmits</v>
      </c>
      <c r="E119" t="str">
        <f>VLOOKUP(Avaluacio[[#This Row],[Codi ítem]],Metodologia[[Codi ítem]:[Subfamília]],COLUMN(Metodologia[[#Headers],[Subfamília]]),FALSE)</f>
        <v>Estat dels serveis</v>
      </c>
      <c r="F119" s="6" t="str">
        <f>VLOOKUP(Avaluacio[[#This Row],[Codi ítem]],Metodologia[[Codi ítem]:[Fase]],COLUMN(Metodologia[[#Headers],[Fase]]),FALSE)</f>
        <v>Fase 5</v>
      </c>
      <c r="G119" s="54" t="s">
        <v>620</v>
      </c>
      <c r="H119" s="54" t="s">
        <v>620</v>
      </c>
      <c r="I119" s="55"/>
      <c r="J11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1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1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https://municat.gencat.cat/ca/Temes/Transparencia/Items-de-transparencia/5.3.1.Incidencies-serveis</v>
      </c>
      <c r="M11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1.0014407035270609</v>
      </c>
      <c r="N119" s="8" t="str">
        <f>Avaluacio[[#This Row],[Codi ítem]]</f>
        <v>XGO118</v>
      </c>
    </row>
    <row r="120" spans="1:14" ht="57" x14ac:dyDescent="0.2">
      <c r="A120" s="6" t="s">
        <v>1036</v>
      </c>
      <c r="B12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0" s="1" t="str">
        <f>VLOOKUP(Avaluacio[[#This Row],[Codi ítem]],Metodologia[[Codi ítem]:[Ítem]],COLUMN(Metodologia[[#Headers],[Ítem]]),FALSE)</f>
        <v>Incidències de trànsit</v>
      </c>
      <c r="D120" t="str">
        <f>VLOOKUP(Avaluacio[[#This Row],[Codi ítem]],Metodologia[[Codi ítem]:[Família]],COLUMN(Metodologia[[#Headers],[Família]]),FALSE)</f>
        <v>Serveis i tràmits</v>
      </c>
      <c r="E120" t="str">
        <f>VLOOKUP(Avaluacio[[#This Row],[Codi ítem]],Metodologia[[Codi ítem]:[Subfamília]],COLUMN(Metodologia[[#Headers],[Subfamília]]),FALSE)</f>
        <v>Estat dels serveis</v>
      </c>
      <c r="F120" s="6" t="str">
        <f>VLOOKUP(Avaluacio[[#This Row],[Codi ítem]],Metodologia[[Codi ítem]:[Fase]],COLUMN(Metodologia[[#Headers],[Fase]]),FALSE)</f>
        <v>Fase 5</v>
      </c>
      <c r="G120" s="54" t="s">
        <v>620</v>
      </c>
      <c r="H120" s="54" t="s">
        <v>620</v>
      </c>
      <c r="I120" s="55"/>
      <c r="J12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https://municat.gencat.cat/ca/Temes/Transparencia/Items-de-transparencia/5.3.2.Incidencies-transit</v>
      </c>
      <c r="M12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1.0017945171263218</v>
      </c>
      <c r="N120" s="8" t="str">
        <f>Avaluacio[[#This Row],[Codi ítem]]</f>
        <v>XGO119</v>
      </c>
    </row>
    <row r="121" spans="1:14" ht="57" x14ac:dyDescent="0.2">
      <c r="A121" s="6" t="s">
        <v>1037</v>
      </c>
      <c r="B12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1" s="1" t="str">
        <f>VLOOKUP(Avaluacio[[#This Row],[Codi ítem]],Metodologia[[Codi ítem]:[Ítem]],COLUMN(Metodologia[[#Headers],[Ítem]]),FALSE)</f>
        <v>Informació de la contaminació de l'aire</v>
      </c>
      <c r="D121" t="str">
        <f>VLOOKUP(Avaluacio[[#This Row],[Codi ítem]],Metodologia[[Codi ítem]:[Família]],COLUMN(Metodologia[[#Headers],[Família]]),FALSE)</f>
        <v>Serveis i tràmits</v>
      </c>
      <c r="E121" t="str">
        <f>VLOOKUP(Avaluacio[[#This Row],[Codi ítem]],Metodologia[[Codi ítem]:[Subfamília]],COLUMN(Metodologia[[#Headers],[Subfamília]]),FALSE)</f>
        <v>Estat dels serveis</v>
      </c>
      <c r="F121" s="6" t="str">
        <f>VLOOKUP(Avaluacio[[#This Row],[Codi ítem]],Metodologia[[Codi ítem]:[Fase]],COLUMN(Metodologia[[#Headers],[Fase]]),FALSE)</f>
        <v>Fase 5</v>
      </c>
      <c r="G121" s="54" t="s">
        <v>620</v>
      </c>
      <c r="H121" s="54" t="s">
        <v>620</v>
      </c>
      <c r="I121" s="55"/>
      <c r="J12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https://municat.gencat.cat/ca/Temes/Transparencia/Items-de-transparencia/5.3.3.Informacio-contaminacio-aire</v>
      </c>
      <c r="M12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1.000617494863046</v>
      </c>
      <c r="N121" s="8" t="str">
        <f>Avaluacio[[#This Row],[Codi ítem]]</f>
        <v>XGO120</v>
      </c>
    </row>
    <row r="122" spans="1:14" ht="57" x14ac:dyDescent="0.2">
      <c r="A122" s="6" t="s">
        <v>1038</v>
      </c>
      <c r="B12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2" s="1" t="str">
        <f>VLOOKUP(Avaluacio[[#This Row],[Codi ítem]],Metodologia[[Codi ítem]:[Ítem]],COLUMN(Metodologia[[#Headers],[Ítem]]),FALSE)</f>
        <v>Informació de la contaminació acústica</v>
      </c>
      <c r="D122" t="str">
        <f>VLOOKUP(Avaluacio[[#This Row],[Codi ítem]],Metodologia[[Codi ítem]:[Família]],COLUMN(Metodologia[[#Headers],[Família]]),FALSE)</f>
        <v>Serveis i tràmits</v>
      </c>
      <c r="E122" t="str">
        <f>VLOOKUP(Avaluacio[[#This Row],[Codi ítem]],Metodologia[[Codi ítem]:[Subfamília]],COLUMN(Metodologia[[#Headers],[Subfamília]]),FALSE)</f>
        <v>Estat dels serveis</v>
      </c>
      <c r="F122" s="6" t="str">
        <f>VLOOKUP(Avaluacio[[#This Row],[Codi ítem]],Metodologia[[Codi ítem]:[Fase]],COLUMN(Metodologia[[#Headers],[Fase]]),FALSE)</f>
        <v>Fase 5</v>
      </c>
      <c r="G122" s="54" t="s">
        <v>620</v>
      </c>
      <c r="H122" s="54" t="s">
        <v>620</v>
      </c>
      <c r="I122" s="55"/>
      <c r="J12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https://municat.gencat.cat/ca/Temes/Transparencia/Items-de-transparencia/5.3.4.Informacio-contaminacio-acustica</v>
      </c>
      <c r="M12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1.0009320743868644</v>
      </c>
      <c r="N122" s="8" t="str">
        <f>Avaluacio[[#This Row],[Codi ítem]]</f>
        <v>XGO121</v>
      </c>
    </row>
    <row r="123" spans="1:14" ht="57" hidden="1" x14ac:dyDescent="0.2">
      <c r="A123" s="6" t="s">
        <v>1039</v>
      </c>
      <c r="B12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3" s="1" t="str">
        <f>VLOOKUP(Avaluacio[[#This Row],[Codi ítem]],Metodologia[[Codi ítem]:[Ítem]],COLUMN(Metodologia[[#Headers],[Ítem]]),FALSE)</f>
        <v>Avaluacions de les polítiques públiques</v>
      </c>
      <c r="D123" t="str">
        <f>VLOOKUP(Avaluacio[[#This Row],[Codi ítem]],Metodologia[[Codi ítem]:[Família]],COLUMN(Metodologia[[#Headers],[Família]]),FALSE)</f>
        <v>Serveis i tràmits</v>
      </c>
      <c r="E123" t="str">
        <f>VLOOKUP(Avaluacio[[#This Row],[Codi ítem]],Metodologia[[Codi ítem]:[Subfamília]],COLUMN(Metodologia[[#Headers],[Subfamília]]),FALSE)</f>
        <v>Estat dels serveis</v>
      </c>
      <c r="F123" s="6" t="str">
        <f>VLOOKUP(Avaluacio[[#This Row],[Codi ítem]],Metodologia[[Codi ítem]:[Fase]],COLUMN(Metodologia[[#Headers],[Fase]]),FALSE)</f>
        <v>Fase 2</v>
      </c>
      <c r="G123" s="54" t="s">
        <v>621</v>
      </c>
      <c r="H123" s="54" t="s">
        <v>621</v>
      </c>
      <c r="I123" s="55"/>
      <c r="J12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2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2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https://municat.gencat.cat/ca/Temes/Transparencia/Items-de-transparencia/5.3.5.Avaluacions-politiques-publiques</v>
      </c>
      <c r="M12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-2.863027126887477E-4</v>
      </c>
      <c r="N123" s="8" t="str">
        <f>Avaluacio[[#This Row],[Codi ítem]]</f>
        <v>XGO122</v>
      </c>
    </row>
    <row r="124" spans="1:14" ht="57" hidden="1" x14ac:dyDescent="0.2">
      <c r="A124" s="6" t="s">
        <v>1040</v>
      </c>
      <c r="B12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4" s="1" t="str">
        <f>VLOOKUP(Avaluacio[[#This Row],[Codi ítem]],Metodologia[[Codi ítem]:[Ítem]],COLUMN(Metodologia[[#Headers],[Ítem]]),FALSE)</f>
        <v>Avaluacions de qualitat dels serveis públics</v>
      </c>
      <c r="D124" t="str">
        <f>VLOOKUP(Avaluacio[[#This Row],[Codi ítem]],Metodologia[[Codi ítem]:[Família]],COLUMN(Metodologia[[#Headers],[Família]]),FALSE)</f>
        <v>Serveis i tràmits</v>
      </c>
      <c r="E124" t="str">
        <f>VLOOKUP(Avaluacio[[#This Row],[Codi ítem]],Metodologia[[Codi ítem]:[Subfamília]],COLUMN(Metodologia[[#Headers],[Subfamília]]),FALSE)</f>
        <v>Estat dels serveis</v>
      </c>
      <c r="F124" s="6" t="str">
        <f>VLOOKUP(Avaluacio[[#This Row],[Codi ítem]],Metodologia[[Codi ítem]:[Fase]],COLUMN(Metodologia[[#Headers],[Fase]]),FALSE)</f>
        <v>Fase 2</v>
      </c>
      <c r="G124" s="54" t="s">
        <v>621</v>
      </c>
      <c r="H124" s="54" t="s">
        <v>621</v>
      </c>
      <c r="I124" s="55"/>
      <c r="J12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2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2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https://municat.gencat.cat/ca/Temes/Transparencia/Items-de-transparencia/5.3.6.Avaluacions-qualitat-serveis-publics</v>
      </c>
      <c r="M12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-6.390559315324146E-4</v>
      </c>
      <c r="N124" s="8" t="str">
        <f>Avaluacio[[#This Row],[Codi ítem]]</f>
        <v>XGO123</v>
      </c>
    </row>
    <row r="125" spans="1:14" ht="57" hidden="1" x14ac:dyDescent="0.2">
      <c r="A125" s="6" t="s">
        <v>1034</v>
      </c>
      <c r="B12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5" s="1" t="str">
        <f>VLOOKUP(Avaluacio[[#This Row],[Codi ítem]],Metodologia[[Codi ítem]:[Ítem]],COLUMN(Metodologia[[#Headers],[Ítem]]),FALSE)</f>
        <v>Indicadors de transparència</v>
      </c>
      <c r="D125" t="str">
        <f>VLOOKUP(Avaluacio[[#This Row],[Codi ítem]],Metodologia[[Codi ítem]:[Família]],COLUMN(Metodologia[[#Headers],[Família]]),FALSE)</f>
        <v>Serveis i tràmits</v>
      </c>
      <c r="E125" t="str">
        <f>VLOOKUP(Avaluacio[[#This Row],[Codi ítem]],Metodologia[[Codi ítem]:[Subfamília]],COLUMN(Metodologia[[#Headers],[Subfamília]]),FALSE)</f>
        <v>Estat dels serveis</v>
      </c>
      <c r="F125" s="6" t="str">
        <f>VLOOKUP(Avaluacio[[#This Row],[Codi ítem]],Metodologia[[Codi ítem]:[Fase]],COLUMN(Metodologia[[#Headers],[Fase]]),FALSE)</f>
        <v>Fase 4</v>
      </c>
      <c r="G125" s="54" t="s">
        <v>620</v>
      </c>
      <c r="H125" s="54" t="s">
        <v>620</v>
      </c>
      <c r="I125" s="55"/>
      <c r="J12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https://municat.gencat.cat/ca/Temes/Transparencia/Items-de-transparencia/5.3.7.Indicadors-transparencia</v>
      </c>
      <c r="M12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1.0003598224216261</v>
      </c>
      <c r="N125" s="8" t="str">
        <f>Avaluacio[[#This Row],[Codi ítem]]</f>
        <v>XGO124</v>
      </c>
    </row>
    <row r="126" spans="1:14" ht="57" hidden="1" x14ac:dyDescent="0.2">
      <c r="A126" s="6" t="s">
        <v>1041</v>
      </c>
      <c r="B12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6" s="1" t="str">
        <f>VLOOKUP(Avaluacio[[#This Row],[Codi ítem]],Metodologia[[Codi ítem]:[Ítem]],COLUMN(Metodologia[[#Headers],[Ítem]]),FALSE)</f>
        <v>Atenció ciutadana</v>
      </c>
      <c r="D126" t="str">
        <f>VLOOKUP(Avaluacio[[#This Row],[Codi ítem]],Metodologia[[Codi ítem]:[Família]],COLUMN(Metodologia[[#Headers],[Família]]),FALSE)</f>
        <v>Serveis i tràmits</v>
      </c>
      <c r="E126" t="str">
        <f>VLOOKUP(Avaluacio[[#This Row],[Codi ítem]],Metodologia[[Codi ítem]:[Subfamília]],COLUMN(Metodologia[[#Headers],[Subfamília]]),FALSE)</f>
        <v>Serveis</v>
      </c>
      <c r="F126" s="6" t="str">
        <f>VLOOKUP(Avaluacio[[#This Row],[Codi ítem]],Metodologia[[Codi ítem]:[Fase]],COLUMN(Metodologia[[#Headers],[Fase]]),FALSE)</f>
        <v>Fase 1</v>
      </c>
      <c r="G126" s="54" t="s">
        <v>620</v>
      </c>
      <c r="H126" s="54" t="s">
        <v>620</v>
      </c>
      <c r="I126" s="55"/>
      <c r="J12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https://municat.gencat.cat/ca/Temes/Transparencia/Items-de-transparencia/5.2.1.Atencio-ciutadana</v>
      </c>
      <c r="M12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1.0332075800705036</v>
      </c>
      <c r="N126" s="8" t="str">
        <f>Avaluacio[[#This Row],[Codi ítem]]</f>
        <v>XGO125</v>
      </c>
    </row>
    <row r="127" spans="1:14" ht="57" x14ac:dyDescent="0.2">
      <c r="A127" s="6" t="s">
        <v>1042</v>
      </c>
      <c r="B12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7" s="1" t="str">
        <f>VLOOKUP(Avaluacio[[#This Row],[Codi ítem]],Metodologia[[Codi ítem]:[Ítem]],COLUMN(Metodologia[[#Headers],[Ítem]]),FALSE)</f>
        <v>Calendari dies inhàbils</v>
      </c>
      <c r="D127" t="str">
        <f>VLOOKUP(Avaluacio[[#This Row],[Codi ítem]],Metodologia[[Codi ítem]:[Família]],COLUMN(Metodologia[[#Headers],[Família]]),FALSE)</f>
        <v>Serveis i tràmits</v>
      </c>
      <c r="E127" t="str">
        <f>VLOOKUP(Avaluacio[[#This Row],[Codi ítem]],Metodologia[[Codi ítem]:[Subfamília]],COLUMN(Metodologia[[#Headers],[Subfamília]]),FALSE)</f>
        <v>Serveis</v>
      </c>
      <c r="F127" s="6" t="str">
        <f>VLOOKUP(Avaluacio[[#This Row],[Codi ítem]],Metodologia[[Codi ítem]:[Fase]],COLUMN(Metodologia[[#Headers],[Fase]]),FALSE)</f>
        <v>Fase 5</v>
      </c>
      <c r="G127" s="54" t="s">
        <v>620</v>
      </c>
      <c r="H127" s="54" t="s">
        <v>620</v>
      </c>
      <c r="I127" s="55"/>
      <c r="J12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https://municat.gencat.cat/ca/Temes/Transparencia/Items-de-transparencia/5.2.2.Calendari-dies-inhabils</v>
      </c>
      <c r="M12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1.0068991884555205</v>
      </c>
      <c r="N127" s="8" t="str">
        <f>Avaluacio[[#This Row],[Codi ítem]]</f>
        <v>XGO126</v>
      </c>
    </row>
    <row r="128" spans="1:14" ht="57" hidden="1" x14ac:dyDescent="0.2">
      <c r="A128" s="6" t="s">
        <v>1043</v>
      </c>
      <c r="B12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8" s="1" t="str">
        <f>VLOOKUP(Avaluacio[[#This Row],[Codi ítem]],Metodologia[[Codi ítem]:[Ítem]],COLUMN(Metodologia[[#Headers],[Ítem]]),FALSE)</f>
        <v>Catàleg i cartes de serveis</v>
      </c>
      <c r="D128" t="str">
        <f>VLOOKUP(Avaluacio[[#This Row],[Codi ítem]],Metodologia[[Codi ítem]:[Família]],COLUMN(Metodologia[[#Headers],[Família]]),FALSE)</f>
        <v>Serveis i tràmits</v>
      </c>
      <c r="E128" t="str">
        <f>VLOOKUP(Avaluacio[[#This Row],[Codi ítem]],Metodologia[[Codi ítem]:[Subfamília]],COLUMN(Metodologia[[#Headers],[Subfamília]]),FALSE)</f>
        <v>Serveis</v>
      </c>
      <c r="F128" s="6" t="str">
        <f>VLOOKUP(Avaluacio[[#This Row],[Codi ítem]],Metodologia[[Codi ítem]:[Fase]],COLUMN(Metodologia[[#Headers],[Fase]]),FALSE)</f>
        <v>Fase 1</v>
      </c>
      <c r="G128" s="54" t="s">
        <v>620</v>
      </c>
      <c r="H128" s="54" t="s">
        <v>620</v>
      </c>
      <c r="I128" s="55"/>
      <c r="J12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2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2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https://municat.gencat.cat/ca/Temes/Transparencia/Items-de-transparencia/5.2.3.Cataleg-cartes-serveis</v>
      </c>
      <c r="M12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1.0061367749354346</v>
      </c>
      <c r="N128" s="8" t="str">
        <f>Avaluacio[[#This Row],[Codi ítem]]</f>
        <v>XGO127</v>
      </c>
    </row>
    <row r="129" spans="1:14" ht="57" x14ac:dyDescent="0.2">
      <c r="A129" s="6" t="s">
        <v>1044</v>
      </c>
      <c r="B12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29" s="1" t="str">
        <f>VLOOKUP(Avaluacio[[#This Row],[Codi ítem]],Metodologia[[Codi ítem]:[Ítem]],COLUMN(Metodologia[[#Headers],[Ítem]]),FALSE)</f>
        <v>Equipaments municipals</v>
      </c>
      <c r="D129" t="str">
        <f>VLOOKUP(Avaluacio[[#This Row],[Codi ítem]],Metodologia[[Codi ítem]:[Família]],COLUMN(Metodologia[[#Headers],[Família]]),FALSE)</f>
        <v>Serveis i tràmits</v>
      </c>
      <c r="E129" t="str">
        <f>VLOOKUP(Avaluacio[[#This Row],[Codi ítem]],Metodologia[[Codi ítem]:[Subfamília]],COLUMN(Metodologia[[#Headers],[Subfamília]]),FALSE)</f>
        <v>Serveis</v>
      </c>
      <c r="F129" s="6" t="str">
        <f>VLOOKUP(Avaluacio[[#This Row],[Codi ítem]],Metodologia[[Codi ítem]:[Fase]],COLUMN(Metodologia[[#Headers],[Fase]]),FALSE)</f>
        <v>Fase 5</v>
      </c>
      <c r="G129" s="54" t="s">
        <v>621</v>
      </c>
      <c r="H129" s="54" t="s">
        <v>621</v>
      </c>
      <c r="I129" s="55"/>
      <c r="J12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2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2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https://municat.gencat.cat/ca/Temes/Transparencia/Items-de-transparencia/5.2.4.Equipaments-municipals</v>
      </c>
      <c r="M12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-2.885648575791279E-3</v>
      </c>
      <c r="N129" s="8" t="str">
        <f>Avaluacio[[#This Row],[Codi ítem]]</f>
        <v>XGO128</v>
      </c>
    </row>
    <row r="130" spans="1:14" ht="57" x14ac:dyDescent="0.2">
      <c r="A130" s="6" t="s">
        <v>1045</v>
      </c>
      <c r="B13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0" s="1" t="str">
        <f>VLOOKUP(Avaluacio[[#This Row],[Codi ítem]],Metodologia[[Codi ítem]:[Ítem]],COLUMN(Metodologia[[#Headers],[Ítem]]),FALSE)</f>
        <v>Instància genèrica</v>
      </c>
      <c r="D130" t="str">
        <f>VLOOKUP(Avaluacio[[#This Row],[Codi ítem]],Metodologia[[Codi ítem]:[Família]],COLUMN(Metodologia[[#Headers],[Família]]),FALSE)</f>
        <v>Serveis i tràmits</v>
      </c>
      <c r="E130" t="str">
        <f>VLOOKUP(Avaluacio[[#This Row],[Codi ítem]],Metodologia[[Codi ítem]:[Subfamília]],COLUMN(Metodologia[[#Headers],[Subfamília]]),FALSE)</f>
        <v>Tràmits</v>
      </c>
      <c r="F130" s="6" t="str">
        <f>VLOOKUP(Avaluacio[[#This Row],[Codi ítem]],Metodologia[[Codi ítem]:[Fase]],COLUMN(Metodologia[[#Headers],[Fase]]),FALSE)</f>
        <v>Fase 5</v>
      </c>
      <c r="G130" s="54" t="s">
        <v>620</v>
      </c>
      <c r="H130" s="54" t="s">
        <v>620</v>
      </c>
      <c r="I130" s="55"/>
      <c r="J13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0"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https://municat.gencat.cat/ca/Temes/Transparencia/Items-de-transparencia/5.1.1.Instancia-generica</v>
      </c>
      <c r="M13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1.1499999999999999</v>
      </c>
      <c r="N130" s="8" t="str">
        <f>Avaluacio[[#This Row],[Codi ítem]]</f>
        <v>XGO129</v>
      </c>
    </row>
    <row r="131" spans="1:14" ht="42.75" x14ac:dyDescent="0.2">
      <c r="A131" s="6" t="s">
        <v>1046</v>
      </c>
      <c r="B13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1" s="1" t="str">
        <f>VLOOKUP(Avaluacio[[#This Row],[Codi ítem]],Metodologia[[Codi ítem]:[Ítem]],COLUMN(Metodologia[[#Headers],[Ítem]]),FALSE)</f>
        <v>Gestió tributària</v>
      </c>
      <c r="D131" t="str">
        <f>VLOOKUP(Avaluacio[[#This Row],[Codi ítem]],Metodologia[[Codi ítem]:[Família]],COLUMN(Metodologia[[#Headers],[Família]]),FALSE)</f>
        <v>Serveis i tràmits</v>
      </c>
      <c r="E131" t="str">
        <f>VLOOKUP(Avaluacio[[#This Row],[Codi ítem]],Metodologia[[Codi ítem]:[Subfamília]],COLUMN(Metodologia[[#Headers],[Subfamília]]),FALSE)</f>
        <v>Tràmits</v>
      </c>
      <c r="F131" s="6" t="str">
        <f>VLOOKUP(Avaluacio[[#This Row],[Codi ítem]],Metodologia[[Codi ítem]:[Fase]],COLUMN(Metodologia[[#Headers],[Fase]]),FALSE)</f>
        <v>Fase 5</v>
      </c>
      <c r="G131" s="54" t="s">
        <v>620</v>
      </c>
      <c r="H131" s="54" t="s">
        <v>620</v>
      </c>
      <c r="I131" s="55"/>
      <c r="J13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1"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https://municat.gencat.cat/ca/Temes/Transparencia/Items-de-transparencia/5.1.2.Gestio-tributaria</v>
      </c>
      <c r="M13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1.0351084886987012</v>
      </c>
      <c r="N131" s="8" t="str">
        <f>Avaluacio[[#This Row],[Codi ítem]]</f>
        <v>XGO130</v>
      </c>
    </row>
    <row r="132" spans="1:14" ht="57" x14ac:dyDescent="0.2">
      <c r="A132" s="6" t="s">
        <v>1047</v>
      </c>
      <c r="B13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2" s="1" t="str">
        <f>VLOOKUP(Avaluacio[[#This Row],[Codi ítem]],Metodologia[[Codi ítem]:[Ítem]],COLUMN(Metodologia[[#Headers],[Ítem]]),FALSE)</f>
        <v>Notificacions electròniques</v>
      </c>
      <c r="D132" t="str">
        <f>VLOOKUP(Avaluacio[[#This Row],[Codi ítem]],Metodologia[[Codi ítem]:[Família]],COLUMN(Metodologia[[#Headers],[Família]]),FALSE)</f>
        <v>Serveis i tràmits</v>
      </c>
      <c r="E132" t="str">
        <f>VLOOKUP(Avaluacio[[#This Row],[Codi ítem]],Metodologia[[Codi ítem]:[Subfamília]],COLUMN(Metodologia[[#Headers],[Subfamília]]),FALSE)</f>
        <v>Tràmits</v>
      </c>
      <c r="F132" s="6" t="str">
        <f>VLOOKUP(Avaluacio[[#This Row],[Codi ítem]],Metodologia[[Codi ítem]:[Fase]],COLUMN(Metodologia[[#Headers],[Fase]]),FALSE)</f>
        <v>Fase 5</v>
      </c>
      <c r="G132" s="54" t="s">
        <v>620</v>
      </c>
      <c r="H132" s="54" t="s">
        <v>620</v>
      </c>
      <c r="I132" s="55"/>
      <c r="J13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https://municat.gencat.cat/ca/Temes/Transparencia/Items-de-transparencia/5.1.3.Notificacions-electroniques</v>
      </c>
      <c r="M13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1.026326064621939</v>
      </c>
      <c r="N132" s="8" t="str">
        <f>Avaluacio[[#This Row],[Codi ítem]]</f>
        <v>XGO131</v>
      </c>
    </row>
    <row r="133" spans="1:14" ht="57" x14ac:dyDescent="0.2">
      <c r="A133" s="6" t="s">
        <v>1048</v>
      </c>
      <c r="B13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3" s="1" t="str">
        <f>VLOOKUP(Avaluacio[[#This Row],[Codi ítem]],Metodologia[[Codi ítem]:[Ítem]],COLUMN(Metodologia[[#Headers],[Ítem]]),FALSE)</f>
        <v>Factures electròniques</v>
      </c>
      <c r="D133" t="str">
        <f>VLOOKUP(Avaluacio[[#This Row],[Codi ítem]],Metodologia[[Codi ítem]:[Família]],COLUMN(Metodologia[[#Headers],[Família]]),FALSE)</f>
        <v>Serveis i tràmits</v>
      </c>
      <c r="E133" t="str">
        <f>VLOOKUP(Avaluacio[[#This Row],[Codi ítem]],Metodologia[[Codi ítem]:[Subfamília]],COLUMN(Metodologia[[#Headers],[Subfamília]]),FALSE)</f>
        <v>Tràmits</v>
      </c>
      <c r="F133" s="6" t="str">
        <f>VLOOKUP(Avaluacio[[#This Row],[Codi ítem]],Metodologia[[Codi ítem]:[Fase]],COLUMN(Metodologia[[#Headers],[Fase]]),FALSE)</f>
        <v>Fase 5</v>
      </c>
      <c r="G133" s="54" t="s">
        <v>620</v>
      </c>
      <c r="H133" s="54" t="s">
        <v>620</v>
      </c>
      <c r="I133" s="55"/>
      <c r="J13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https://municat.gencat.cat/ca/Temes/Transparencia/Items-de-transparencia/5.1.4.Factura-electronica</v>
      </c>
      <c r="M13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1.0121516061228721</v>
      </c>
      <c r="N133" s="8" t="str">
        <f>Avaluacio[[#This Row],[Codi ítem]]</f>
        <v>XGO132</v>
      </c>
    </row>
    <row r="134" spans="1:14" ht="57" hidden="1" x14ac:dyDescent="0.2">
      <c r="A134" s="6" t="s">
        <v>1049</v>
      </c>
      <c r="B13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4" s="1" t="str">
        <f>VLOOKUP(Avaluacio[[#This Row],[Codi ítem]],Metodologia[[Codi ítem]:[Ítem]],COLUMN(Metodologia[[#Headers],[Ítem]]),FALSE)</f>
        <v>Sol·licitud d'accés a la informació pública</v>
      </c>
      <c r="D134" t="str">
        <f>VLOOKUP(Avaluacio[[#This Row],[Codi ítem]],Metodologia[[Codi ítem]:[Família]],COLUMN(Metodologia[[#Headers],[Família]]),FALSE)</f>
        <v>Serveis i tràmits</v>
      </c>
      <c r="E134" t="str">
        <f>VLOOKUP(Avaluacio[[#This Row],[Codi ítem]],Metodologia[[Codi ítem]:[Subfamília]],COLUMN(Metodologia[[#Headers],[Subfamília]]),FALSE)</f>
        <v>Tràmits</v>
      </c>
      <c r="F134" s="6" t="str">
        <f>VLOOKUP(Avaluacio[[#This Row],[Codi ítem]],Metodologia[[Codi ítem]:[Fase]],COLUMN(Metodologia[[#Headers],[Fase]]),FALSE)</f>
        <v>Fase 3</v>
      </c>
      <c r="G134" s="54" t="s">
        <v>620</v>
      </c>
      <c r="H134" s="54" t="s">
        <v>620</v>
      </c>
      <c r="I134" s="55"/>
      <c r="J13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https://municat.gencat.cat/ca/Temes/Transparencia/Items-de-transparencia/5.1.5.Solicitud-acces-informacio-publica</v>
      </c>
      <c r="M13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1.0050088836314965</v>
      </c>
      <c r="N134" s="8" t="str">
        <f>Avaluacio[[#This Row],[Codi ítem]]</f>
        <v>XGO133</v>
      </c>
    </row>
    <row r="135" spans="1:14" ht="57" hidden="1" x14ac:dyDescent="0.2">
      <c r="A135" s="6" t="s">
        <v>1050</v>
      </c>
      <c r="B13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5" s="1" t="str">
        <f>VLOOKUP(Avaluacio[[#This Row],[Codi ítem]],Metodologia[[Codi ítem]:[Ítem]],COLUMN(Metodologia[[#Headers],[Ítem]]),FALSE)</f>
        <v>Suggeriments, queixes i propostes</v>
      </c>
      <c r="D135" t="str">
        <f>VLOOKUP(Avaluacio[[#This Row],[Codi ítem]],Metodologia[[Codi ítem]:[Família]],COLUMN(Metodologia[[#Headers],[Família]]),FALSE)</f>
        <v>Serveis i tràmits</v>
      </c>
      <c r="E135" t="str">
        <f>VLOOKUP(Avaluacio[[#This Row],[Codi ítem]],Metodologia[[Codi ítem]:[Subfamília]],COLUMN(Metodologia[[#Headers],[Subfamília]]),FALSE)</f>
        <v>Tràmits</v>
      </c>
      <c r="F135" s="6" t="str">
        <f>VLOOKUP(Avaluacio[[#This Row],[Codi ítem]],Metodologia[[Codi ítem]:[Fase]],COLUMN(Metodologia[[#Headers],[Fase]]),FALSE)</f>
        <v>Fase 3</v>
      </c>
      <c r="G135" s="54" t="s">
        <v>620</v>
      </c>
      <c r="H135" s="54" t="s">
        <v>620</v>
      </c>
      <c r="I135" s="55"/>
      <c r="J13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https://municat.gencat.cat/ca/Temes/Transparencia/Items-de-transparencia/5.1.6.Proposta-actuacio-millora-suggeriments</v>
      </c>
      <c r="M13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1.0094865166738929</v>
      </c>
      <c r="N135" s="8" t="str">
        <f>Avaluacio[[#This Row],[Codi ítem]]</f>
        <v>XGO134</v>
      </c>
    </row>
    <row r="136" spans="1:14" ht="57" x14ac:dyDescent="0.2">
      <c r="A136" s="6" t="s">
        <v>1051</v>
      </c>
      <c r="B13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6" s="1" t="str">
        <f>VLOOKUP(Avaluacio[[#This Row],[Codi ítem]],Metodologia[[Codi ítem]:[Ítem]],COLUMN(Metodologia[[#Headers],[Ítem]]),FALSE)</f>
        <v xml:space="preserve">El meu espai personal </v>
      </c>
      <c r="D136" t="str">
        <f>VLOOKUP(Avaluacio[[#This Row],[Codi ítem]],Metodologia[[Codi ítem]:[Família]],COLUMN(Metodologia[[#Headers],[Família]]),FALSE)</f>
        <v>Serveis i tràmits</v>
      </c>
      <c r="E136" t="str">
        <f>VLOOKUP(Avaluacio[[#This Row],[Codi ítem]],Metodologia[[Codi ítem]:[Subfamília]],COLUMN(Metodologia[[#Headers],[Subfamília]]),FALSE)</f>
        <v>Tràmits</v>
      </c>
      <c r="F136" s="6" t="str">
        <f>VLOOKUP(Avaluacio[[#This Row],[Codi ítem]],Metodologia[[Codi ítem]:[Fase]],COLUMN(Metodologia[[#Headers],[Fase]]),FALSE)</f>
        <v>Fase 5</v>
      </c>
      <c r="G136" s="54" t="s">
        <v>620</v>
      </c>
      <c r="H136" s="54" t="s">
        <v>620</v>
      </c>
      <c r="I136" s="55"/>
      <c r="J13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https://municat.gencat.cat/ca/Temes/Transparencia/Items-de-transparencia/5.1.7.El-meu-espai-personal</v>
      </c>
      <c r="M13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1.0172552170716533</v>
      </c>
      <c r="N136" s="8" t="str">
        <f>Avaluacio[[#This Row],[Codi ítem]]</f>
        <v>XGO135</v>
      </c>
    </row>
    <row r="137" spans="1:14" ht="57" hidden="1" x14ac:dyDescent="0.2">
      <c r="A137" s="6" t="s">
        <v>1052</v>
      </c>
      <c r="B13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7" s="1" t="str">
        <f>VLOOKUP(Avaluacio[[#This Row],[Codi ítem]],Metodologia[[Codi ítem]:[Ítem]],COLUMN(Metodologia[[#Headers],[Ítem]]),FALSE)</f>
        <v>Catàleg de tràmits i procediments</v>
      </c>
      <c r="D137" t="str">
        <f>VLOOKUP(Avaluacio[[#This Row],[Codi ítem]],Metodologia[[Codi ítem]:[Família]],COLUMN(Metodologia[[#Headers],[Família]]),FALSE)</f>
        <v>Serveis i tràmits</v>
      </c>
      <c r="E137" t="str">
        <f>VLOOKUP(Avaluacio[[#This Row],[Codi ítem]],Metodologia[[Codi ítem]:[Subfamília]],COLUMN(Metodologia[[#Headers],[Subfamília]]),FALSE)</f>
        <v>Tràmits</v>
      </c>
      <c r="F137" s="6" t="str">
        <f>VLOOKUP(Avaluacio[[#This Row],[Codi ítem]],Metodologia[[Codi ítem]:[Fase]],COLUMN(Metodologia[[#Headers],[Fase]]),FALSE)</f>
        <v>Fase 1</v>
      </c>
      <c r="G137" s="54" t="s">
        <v>620</v>
      </c>
      <c r="H137" s="54" t="s">
        <v>620</v>
      </c>
      <c r="I137" s="55"/>
      <c r="J13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https://municat.gencat.cat/ca/Temes/Transparencia/Items-de-transparencia/5.1.8.Cataleg-tramits-procediments</v>
      </c>
      <c r="M13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1.0301169246140216</v>
      </c>
      <c r="N137" s="8" t="str">
        <f>Avaluacio[[#This Row],[Codi ítem]]</f>
        <v>XGO136</v>
      </c>
    </row>
    <row r="138" spans="1:14" ht="57" x14ac:dyDescent="0.2">
      <c r="A138" s="6" t="s">
        <v>1053</v>
      </c>
      <c r="B13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8" s="1" t="str">
        <f>VLOOKUP(Avaluacio[[#This Row],[Codi ítem]],Metodologia[[Codi ítem]:[Ítem]],COLUMN(Metodologia[[#Headers],[Ítem]]),FALSE)</f>
        <v>Catàleg de dades i documents interoperables</v>
      </c>
      <c r="D138" t="str">
        <f>VLOOKUP(Avaluacio[[#This Row],[Codi ítem]],Metodologia[[Codi ítem]:[Família]],COLUMN(Metodologia[[#Headers],[Família]]),FALSE)</f>
        <v>Serveis i tràmits</v>
      </c>
      <c r="E138" t="str">
        <f>VLOOKUP(Avaluacio[[#This Row],[Codi ítem]],Metodologia[[Codi ítem]:[Subfamília]],COLUMN(Metodologia[[#Headers],[Subfamília]]),FALSE)</f>
        <v>Tràmits</v>
      </c>
      <c r="F138" s="6" t="str">
        <f>VLOOKUP(Avaluacio[[#This Row],[Codi ítem]],Metodologia[[Codi ítem]:[Fase]],COLUMN(Metodologia[[#Headers],[Fase]]),FALSE)</f>
        <v>Fase 5</v>
      </c>
      <c r="G138" s="54" t="s">
        <v>620</v>
      </c>
      <c r="H138" s="54" t="s">
        <v>620</v>
      </c>
      <c r="I138" s="55"/>
      <c r="J13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https://municat.gencat.cat/ca/Temes/Transparencia/Items-de-transparencia/5.1.9.Cataleg-dades-documents-interoperables</v>
      </c>
      <c r="M13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1.0004513685976586</v>
      </c>
      <c r="N138" s="8" t="str">
        <f>Avaluacio[[#This Row],[Codi ítem]]</f>
        <v>XGO137</v>
      </c>
    </row>
    <row r="139" spans="1:14" ht="57" x14ac:dyDescent="0.2">
      <c r="A139" s="6" t="s">
        <v>1055</v>
      </c>
      <c r="B139"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39" s="1" t="str">
        <f>VLOOKUP(Avaluacio[[#This Row],[Codi ítem]],Metodologia[[Codi ítem]:[Ítem]],COLUMN(Metodologia[[#Headers],[Ítem]]),FALSE)</f>
        <v>Gestor de representacions</v>
      </c>
      <c r="D139" t="str">
        <f>VLOOKUP(Avaluacio[[#This Row],[Codi ítem]],Metodologia[[Codi ítem]:[Família]],COLUMN(Metodologia[[#Headers],[Família]]),FALSE)</f>
        <v>Serveis i tràmits</v>
      </c>
      <c r="E139" t="str">
        <f>VLOOKUP(Avaluacio[[#This Row],[Codi ítem]],Metodologia[[Codi ítem]:[Subfamília]],COLUMN(Metodologia[[#Headers],[Subfamília]]),FALSE)</f>
        <v>Tràmits</v>
      </c>
      <c r="F139" s="6" t="str">
        <f>VLOOKUP(Avaluacio[[#This Row],[Codi ítem]],Metodologia[[Codi ítem]:[Fase]],COLUMN(Metodologia[[#Headers],[Fase]]),FALSE)</f>
        <v>Fase 5</v>
      </c>
      <c r="G139" s="54" t="s">
        <v>620</v>
      </c>
      <c r="H139" s="54" t="s">
        <v>620</v>
      </c>
      <c r="I139" s="55"/>
      <c r="J139"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39"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39"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https://municat.gencat.cat/ca/Temes/Transparencia/Items-de-transparencia/5.1.10.Gestor-de-representacions</v>
      </c>
      <c r="M139"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1.0002771127490715</v>
      </c>
      <c r="N139" s="8" t="str">
        <f>Avaluacio[[#This Row],[Codi ítem]]</f>
        <v>XGO138</v>
      </c>
    </row>
    <row r="140" spans="1:14" ht="85.5" x14ac:dyDescent="0.2">
      <c r="A140" s="6" t="s">
        <v>1054</v>
      </c>
      <c r="B140"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0" s="1" t="str">
        <f>VLOOKUP(Avaluacio[[#This Row],[Codi ítem]],Metodologia[[Codi ítem]:[Ítem]],COLUMN(Metodologia[[#Headers],[Ítem]]),FALSE)</f>
        <v>Finestra única empresarial (FUE)</v>
      </c>
      <c r="D140" t="str">
        <f>VLOOKUP(Avaluacio[[#This Row],[Codi ítem]],Metodologia[[Codi ítem]:[Família]],COLUMN(Metodologia[[#Headers],[Família]]),FALSE)</f>
        <v>Serveis i tràmits</v>
      </c>
      <c r="E140" t="str">
        <f>VLOOKUP(Avaluacio[[#This Row],[Codi ítem]],Metodologia[[Codi ítem]:[Subfamília]],COLUMN(Metodologia[[#Headers],[Subfamília]]),FALSE)</f>
        <v>Tràmits</v>
      </c>
      <c r="F140" s="6" t="str">
        <f>VLOOKUP(Avaluacio[[#This Row],[Codi ítem]],Metodologia[[Codi ítem]:[Fase]],COLUMN(Metodologia[[#Headers],[Fase]]),FALSE)</f>
        <v>Fase 5</v>
      </c>
      <c r="G140" s="54" t="s">
        <v>620</v>
      </c>
      <c r="H140" s="54" t="s">
        <v>620</v>
      </c>
      <c r="I140" s="55"/>
      <c r="J140"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0"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0" s="48" t="str">
        <f>HYPERLINK(VLOOKUP(Avaluacio[[#This Row],[Codi ítem]],Metodologia[[#Headers],[#Data],[Codi ítem]:[Enllaç Municat]],COLUMN(Metodologia[[#Headers],[Enllaç Municat]]),FALSE),VLOOKUP(Avaluacio[[#This Row],[Codi ítem]],Metodologia[[#Headers],[#Data],[Codi ítem]:[Enllaç Municat]],COLUMN(Metodologia[[#Headers],[Enllaç Municat]]),FALSE))</f>
        <v>https://suport-governobert.aoc.cat/hc/ca/articles/13276646197405-Qu%C3%A8-ha-d-incloure-l-%C3%ADtem-de-Finestreta-%C3%9Anica-Empresarial-</v>
      </c>
      <c r="M140"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1.0005718985050993</v>
      </c>
      <c r="N140" s="8" t="str">
        <f>Avaluacio[[#This Row],[Codi ítem]]</f>
        <v>XGO139</v>
      </c>
    </row>
    <row r="141" spans="1:14" ht="75" x14ac:dyDescent="0.2">
      <c r="A141" s="6" t="s">
        <v>1103</v>
      </c>
      <c r="B141"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1" s="1" t="str">
        <f>VLOOKUP(Avaluacio[[#This Row],[Codi ítem]],Metodologia[[Codi ítem]:[Ítem]],COLUMN(Metodologia[[#Headers],[Ítem]]),FALSE)</f>
        <v>Verificació de documents mitjançant Codi Segur de Verificació (CSV)</v>
      </c>
      <c r="D141" t="str">
        <f>VLOOKUP(Avaluacio[[#This Row],[Codi ítem]],Metodologia[[Codi ítem]:[Família]],COLUMN(Metodologia[[#Headers],[Família]]),FALSE)</f>
        <v>Serveis i tràmits</v>
      </c>
      <c r="E141" t="str">
        <f>VLOOKUP(Avaluacio[[#This Row],[Codi ítem]],Metodologia[[Codi ítem]:[Subfamília]],COLUMN(Metodologia[[#Headers],[Subfamília]]),FALSE)</f>
        <v>Tràmits</v>
      </c>
      <c r="F141" s="6" t="str">
        <f>VLOOKUP(Avaluacio[[#This Row],[Codi ítem]],Metodologia[[Codi ítem]:[Fase]],COLUMN(Metodologia[[#Headers],[Fase]]),FALSE)</f>
        <v>Fase 5</v>
      </c>
      <c r="G141" s="54" t="s">
        <v>620</v>
      </c>
      <c r="H141" s="54" t="s">
        <v>620</v>
      </c>
      <c r="I141" s="55"/>
      <c r="J141"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1"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1" s="48">
        <f>HYPERLINK(VLOOKUP(Avaluacio[[#This Row],[Codi ítem]],Metodologia[[#Headers],[#Data],[Codi ítem]:[Enllaç Municat]],COLUMN(Metodologia[[#Headers],[Enllaç Municat]]),FALSE),VLOOKUP(Avaluacio[[#This Row],[Codi ítem]],Metodologia[[#Headers],[#Data],[Codi ítem]:[Enllaç Municat]],COLUMN(Metodologia[[#Headers],[Enllaç Municat]]),FALSE))</f>
        <v>0</v>
      </c>
      <c r="M141"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v>
      </c>
      <c r="N141" s="8" t="str">
        <f>Avaluacio[[#This Row],[Codi ítem]]</f>
        <v>XGO140</v>
      </c>
    </row>
    <row r="142" spans="1:14" ht="57" hidden="1" x14ac:dyDescent="0.2">
      <c r="A142" s="6" t="s">
        <v>1089</v>
      </c>
      <c r="B142"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2" s="1" t="str">
        <f>VLOOKUP(Avaluacio[[#This Row],[Codi ítem]],Metodologia[[Codi ítem]:[Ítem]],COLUMN(Metodologia[[#Headers],[Ítem]]),FALSE)</f>
        <v>Espais de participació ciutadana</v>
      </c>
      <c r="D142" t="str">
        <f>VLOOKUP(Avaluacio[[#This Row],[Codi ítem]],Metodologia[[Codi ítem]:[Família]],COLUMN(Metodologia[[#Headers],[Família]]),FALSE)</f>
        <v>Participació</v>
      </c>
      <c r="E142" t="str">
        <f>VLOOKUP(Avaluacio[[#This Row],[Codi ítem]],Metodologia[[Codi ítem]:[Subfamília]],COLUMN(Metodologia[[#Headers],[Subfamília]]),FALSE)</f>
        <v>Participació</v>
      </c>
      <c r="F142" s="6" t="str">
        <f>VLOOKUP(Avaluacio[[#This Row],[Codi ítem]],Metodologia[[Codi ítem]:[Fase]],COLUMN(Metodologia[[#Headers],[Fase]]),FALSE)</f>
        <v>Fase 2</v>
      </c>
      <c r="G142" s="54" t="s">
        <v>620</v>
      </c>
      <c r="H142" s="54" t="s">
        <v>620</v>
      </c>
      <c r="I142" s="55"/>
      <c r="J142"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2"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2"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https://municat.gencat.cat/ca/Temes/Transparencia/Items-de-transparencia/6.1.1.Espais-participacio-ciutadana</v>
      </c>
      <c r="M142"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1.0020917771033235</v>
      </c>
      <c r="N142" s="8" t="str">
        <f>Avaluacio[[#This Row],[Codi ítem]]</f>
        <v>XGO141</v>
      </c>
    </row>
    <row r="143" spans="1:14" ht="42.75" x14ac:dyDescent="0.2">
      <c r="A143" s="6" t="s">
        <v>1090</v>
      </c>
      <c r="B143"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3" s="1" t="str">
        <f>VLOOKUP(Avaluacio[[#This Row],[Codi ítem]],Metodologia[[Codi ítem]:[Ítem]],COLUMN(Metodologia[[#Headers],[Ítem]]),FALSE)</f>
        <v>Xarxes socials</v>
      </c>
      <c r="D143" t="str">
        <f>VLOOKUP(Avaluacio[[#This Row],[Codi ítem]],Metodologia[[Codi ítem]:[Família]],COLUMN(Metodologia[[#Headers],[Família]]),FALSE)</f>
        <v>Participació</v>
      </c>
      <c r="E143" t="str">
        <f>VLOOKUP(Avaluacio[[#This Row],[Codi ítem]],Metodologia[[Codi ítem]:[Subfamília]],COLUMN(Metodologia[[#Headers],[Subfamília]]),FALSE)</f>
        <v>Participació</v>
      </c>
      <c r="F143" s="6" t="str">
        <f>VLOOKUP(Avaluacio[[#This Row],[Codi ítem]],Metodologia[[Codi ítem]:[Fase]],COLUMN(Metodologia[[#Headers],[Fase]]),FALSE)</f>
        <v>Fase 5</v>
      </c>
      <c r="G143" s="54" t="s">
        <v>620</v>
      </c>
      <c r="H143" s="54" t="s">
        <v>620</v>
      </c>
      <c r="I143" s="55"/>
      <c r="J143"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3"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3"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https://municat.gencat.cat/ca/Temes/Transparencia/Items-de-transparencia/6.1.2.Xarxes-socials</v>
      </c>
      <c r="M143"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1.000551044356891</v>
      </c>
      <c r="N143" s="8" t="str">
        <f>Avaluacio[[#This Row],[Codi ítem]]</f>
        <v>XGO142</v>
      </c>
    </row>
    <row r="144" spans="1:14" ht="57" hidden="1" x14ac:dyDescent="0.2">
      <c r="A144" s="6" t="s">
        <v>1091</v>
      </c>
      <c r="B144"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4" s="1" t="str">
        <f>VLOOKUP(Avaluacio[[#This Row],[Codi ítem]],Metodologia[[Codi ítem]:[Ítem]],COLUMN(Metodologia[[#Headers],[Ítem]]),FALSE)</f>
        <v>Processos participatius en tràmit</v>
      </c>
      <c r="D144" t="str">
        <f>VLOOKUP(Avaluacio[[#This Row],[Codi ítem]],Metodologia[[Codi ítem]:[Família]],COLUMN(Metodologia[[#Headers],[Família]]),FALSE)</f>
        <v>Participació</v>
      </c>
      <c r="E144" t="str">
        <f>VLOOKUP(Avaluacio[[#This Row],[Codi ítem]],Metodologia[[Codi ítem]:[Subfamília]],COLUMN(Metodologia[[#Headers],[Subfamília]]),FALSE)</f>
        <v>Participació</v>
      </c>
      <c r="F144" s="6" t="str">
        <f>VLOOKUP(Avaluacio[[#This Row],[Codi ítem]],Metodologia[[Codi ítem]:[Fase]],COLUMN(Metodologia[[#Headers],[Fase]]),FALSE)</f>
        <v>Fase 4</v>
      </c>
      <c r="G144" s="54" t="s">
        <v>620</v>
      </c>
      <c r="H144" s="54" t="s">
        <v>620</v>
      </c>
      <c r="I144" s="55"/>
      <c r="J144"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4"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4"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https://municat.gencat.cat/ca/Temes/Transparencia/Items-de-transparencia/6.1.3.Processos-participatius-en-tramit</v>
      </c>
      <c r="M144"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1.0012834137651516</v>
      </c>
      <c r="N144" s="8" t="str">
        <f>Avaluacio[[#This Row],[Codi ítem]]</f>
        <v>XGO143</v>
      </c>
    </row>
    <row r="145" spans="1:14" ht="75" hidden="1" x14ac:dyDescent="0.2">
      <c r="A145" s="6" t="s">
        <v>1092</v>
      </c>
      <c r="B145"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5" s="1" t="str">
        <f>VLOOKUP(Avaluacio[[#This Row],[Codi ítem]],Metodologia[[Codi ítem]:[Ítem]],COLUMN(Metodologia[[#Headers],[Ítem]]),FALSE)</f>
        <v>Consultes més freqüents rebudes pels ciutadans o organitzacions</v>
      </c>
      <c r="D145" t="str">
        <f>VLOOKUP(Avaluacio[[#This Row],[Codi ítem]],Metodologia[[Codi ítem]:[Família]],COLUMN(Metodologia[[#Headers],[Família]]),FALSE)</f>
        <v>Participació</v>
      </c>
      <c r="E145" t="str">
        <f>VLOOKUP(Avaluacio[[#This Row],[Codi ítem]],Metodologia[[Codi ítem]:[Subfamília]],COLUMN(Metodologia[[#Headers],[Subfamília]]),FALSE)</f>
        <v>Participació</v>
      </c>
      <c r="F145" s="6" t="str">
        <f>VLOOKUP(Avaluacio[[#This Row],[Codi ítem]],Metodologia[[Codi ítem]:[Fase]],COLUMN(Metodologia[[#Headers],[Fase]]),FALSE)</f>
        <v>Fase 4</v>
      </c>
      <c r="G145" s="54" t="s">
        <v>620</v>
      </c>
      <c r="H145" s="54" t="s">
        <v>620</v>
      </c>
      <c r="I145" s="55"/>
      <c r="J145"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5"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5"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https://municat.gencat.cat/ca/Temes/Transparencia/Items-de-transparencia/6.1.4.Consultes-mes-frequents-rebudes-pels-ciutadans-organitzacions</v>
      </c>
      <c r="M145"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1.0001604709031613</v>
      </c>
      <c r="N145" s="8" t="str">
        <f>Avaluacio[[#This Row],[Codi ítem]]</f>
        <v>XGO144</v>
      </c>
    </row>
    <row r="146" spans="1:14" ht="57" x14ac:dyDescent="0.2">
      <c r="A146" s="6" t="s">
        <v>1093</v>
      </c>
      <c r="B146"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6" s="1" t="str">
        <f>VLOOKUP(Avaluacio[[#This Row],[Codi ítem]],Metodologia[[Codi ítem]:[Ítem]],COLUMN(Metodologia[[#Headers],[Ítem]]),FALSE)</f>
        <v>Directori d'associacions i entitats</v>
      </c>
      <c r="D146" t="str">
        <f>VLOOKUP(Avaluacio[[#This Row],[Codi ítem]],Metodologia[[Codi ítem]:[Família]],COLUMN(Metodologia[[#Headers],[Família]]),FALSE)</f>
        <v>Participació</v>
      </c>
      <c r="E146" t="str">
        <f>VLOOKUP(Avaluacio[[#This Row],[Codi ítem]],Metodologia[[Codi ítem]:[Subfamília]],COLUMN(Metodologia[[#Headers],[Subfamília]]),FALSE)</f>
        <v>Participació</v>
      </c>
      <c r="F146" s="6" t="str">
        <f>VLOOKUP(Avaluacio[[#This Row],[Codi ítem]],Metodologia[[Codi ítem]:[Fase]],COLUMN(Metodologia[[#Headers],[Fase]]),FALSE)</f>
        <v>Fase 5</v>
      </c>
      <c r="G146" s="54" t="s">
        <v>620</v>
      </c>
      <c r="H146" s="54" t="s">
        <v>620</v>
      </c>
      <c r="I146" s="55"/>
      <c r="J146"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6"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6"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https://municat.gencat.cat/ca/Temes/Transparencia/Items-de-transparencia/6.1.5.Directori-associacions-entitats</v>
      </c>
      <c r="M146"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1.0043411974286953</v>
      </c>
      <c r="N146" s="8" t="str">
        <f>Avaluacio[[#This Row],[Codi ítem]]</f>
        <v>XGO145</v>
      </c>
    </row>
    <row r="147" spans="1:14" ht="75" hidden="1" x14ac:dyDescent="0.2">
      <c r="A147" s="6" t="s">
        <v>1095</v>
      </c>
      <c r="B147"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7" s="1" t="str">
        <f>VLOOKUP(Avaluacio[[#This Row],[Codi ítem]],Metodologia[[Codi ítem]:[Ítem]],COLUMN(Metodologia[[#Headers],[Ítem]]),FALSE)</f>
        <v>Normativa, reglaments i directrius de participació ciutadana</v>
      </c>
      <c r="D147" t="str">
        <f>VLOOKUP(Avaluacio[[#This Row],[Codi ítem]],Metodologia[[Codi ítem]:[Família]],COLUMN(Metodologia[[#Headers],[Família]]),FALSE)</f>
        <v>Participació</v>
      </c>
      <c r="E147" t="str">
        <f>VLOOKUP(Avaluacio[[#This Row],[Codi ítem]],Metodologia[[Codi ítem]:[Subfamília]],COLUMN(Metodologia[[#Headers],[Subfamília]]),FALSE)</f>
        <v>Participació</v>
      </c>
      <c r="F147" s="6" t="str">
        <f>VLOOKUP(Avaluacio[[#This Row],[Codi ítem]],Metodologia[[Codi ítem]:[Fase]],COLUMN(Metodologia[[#Headers],[Fase]]),FALSE)</f>
        <v>Fase 4</v>
      </c>
      <c r="G147" s="54" t="s">
        <v>621</v>
      </c>
      <c r="H147" s="54" t="s">
        <v>621</v>
      </c>
      <c r="I147" s="55"/>
      <c r="J147"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No compleix</v>
      </c>
      <c r="K147"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0</v>
      </c>
      <c r="L147"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https://municat.gencat.cat/ca/Temes/Transparencia/Items-de-transparencia/6.1.7.Normativa-reglaments-directius-participacio-ciutadana</v>
      </c>
      <c r="M147"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-6.9794239071012502E-3</v>
      </c>
      <c r="N147" s="8" t="str">
        <f>Avaluacio[[#This Row],[Codi ítem]]</f>
        <v>XGO146</v>
      </c>
    </row>
    <row r="148" spans="1:14" ht="57" x14ac:dyDescent="0.2">
      <c r="A148" s="6" t="s">
        <v>1096</v>
      </c>
      <c r="B148" s="6" t="str">
        <f>IF(AND(VALUE(RIGHT(VLOOKUP(Avaluacio[[#This Row],[Codi ítem]],Metodologia[[Codi ítem]:[Fase]],COLUMN(Metodologia[[#Headers],[Fase]]),FALSE),1))&lt;=(VLOOKUP('1_Plantejament'!$B$7,Taula2_Fases[],2,FALSE)),OR(VLOOKUP(Avaluacio[[#This Row],[Codi ítem]],Metodologia[],VLOOKUP('1_Plantejament'!$B$6,Taula1_TipusEns[],3,FALSE),FALSE)="Sí",VLOOKUP(Avaluacio[[#This Row],[Codi ítem]],Metodologia[],VLOOKUP('1_Plantejament'!$B$6,Taula1_TipusEns[],3,FALSE),FALSE)="No, pero és recomanable")),"Sí","No")</f>
        <v>Sí</v>
      </c>
      <c r="C148" s="1" t="str">
        <f>VLOOKUP(Avaluacio[[#This Row],[Codi ítem]],Metodologia[[Codi ítem]:[Ítem]],COLUMN(Metodologia[[#Headers],[Ítem]]),FALSE)</f>
        <v>Agenda i activitats de les associacions</v>
      </c>
      <c r="D148" t="str">
        <f>VLOOKUP(Avaluacio[[#This Row],[Codi ítem]],Metodologia[[Codi ítem]:[Família]],COLUMN(Metodologia[[#Headers],[Família]]),FALSE)</f>
        <v>Participació</v>
      </c>
      <c r="E148" t="str">
        <f>VLOOKUP(Avaluacio[[#This Row],[Codi ítem]],Metodologia[[Codi ítem]:[Subfamília]],COLUMN(Metodologia[[#Headers],[Subfamília]]),FALSE)</f>
        <v>Participació</v>
      </c>
      <c r="F148" s="6" t="str">
        <f>VLOOKUP(Avaluacio[[#This Row],[Codi ítem]],Metodologia[[Codi ítem]:[Fase]],COLUMN(Metodologia[[#Headers],[Fase]]),FALSE)</f>
        <v>Fase 5</v>
      </c>
      <c r="G148" s="54" t="s">
        <v>620</v>
      </c>
      <c r="H148" s="54" t="s">
        <v>620</v>
      </c>
      <c r="I148" s="55"/>
      <c r="J148" s="6" t="str">
        <f>IF(AND(OR(Avaluacio[[#This Row],[Contingut]]="N/A",Avaluacio[[#This Row],[Contingut]]="Exclòs"),OR(Avaluacio[[#This Row],[Actualització]]="N/A",Avaluacio[[#This Row],[Actualització]]="Exclòs")),"No aplicable",IF(OR(Avaluacio[[#This Row],[Contingut]]="Sí (confirmar)",Avaluacio[[#This Row],[Contingut]]="Opcional",Avaluacio[[#This Row],[Contingut]]="",Avaluacio[[#This Row],[Actualització]]="Sí (confirmar)",Avaluacio[[#This Row],[Actualització]]="Opcional",Avaluacio[[#This Row],[Actualització]]=""),"Pendent d'avaluar",IF(Avaluacio[[#This Row],[% compliment]]=1,"Compleix totalment",IF(AND(Avaluacio[[#This Row],[% compliment]]&gt;0,Avaluacio[[#This Row],[% compliment]]&lt;1),"Compleix parcialment",IF(Avaluacio[[#This Row],[% compliment]]=0,"No compleix","N/A")))))</f>
        <v>Compleix totalment</v>
      </c>
      <c r="K148" s="8">
        <f>IF(OR(Avaluacio[[#This Row],[Contingut]]="N/A",Avaluacio[[#This Row],[Contingut]]="Exclòs",Avaluacio[[#This Row],[Contingut]]="",Avaluacio[[#This Row],[Contingut]]="Sí (confirmar)",Avaluacio[[#This Row],[Contingut]]="Opcional",Avaluacio[[#This Row],[Contingut]]="",Avaluacio[[#This Row],[Actualització]]="Sí (confirmar)",Avaluacio[[#This Row],[Actualització]]="Opcional",Avaluacio[[#This Row],[Actualització]]=""),"",AVERAGE(COUNTIF(Avaluacio[[#This Row],[Contingut]],"Sí")/(COUNTIF(Avaluacio[[#This Row],[Contingut]],"Sí")+COUNTIF(Avaluacio[[#This Row],[Contingut]],"No")),(COUNTIF(Avaluacio[[#This Row],[Actualització]],"Sí")/(COUNTIF(Avaluacio[[#This Row],[Actualització]],"Sí")+COUNTIF(Avaluacio[[#This Row],[Actualització]],"No")))))</f>
        <v>1</v>
      </c>
      <c r="L148" s="48" t="str">
        <f>HYPERLINK(VLOOKUP(Avaluacio[[#This Row],[Codi ítem]],Metodologia[[#Headers],[#Data],[Codi ítem]:[Enllaç Municat]],COLUMN(Metodologia[[#Headers],[Enllaç Municat]]),FALSE),VLOOKUP(Avaluacio[[#This Row],[Codi ítem]],Metodologia[[#Headers],[#Data],[Codi ítem]:[Enllaç Municat]],COLUMN(Metodologia[[#Headers],[Enllaç Municat]]),FALSE))</f>
        <v>https://municat.gencat.cat/ca/Temes/Transparencia/Items-de-transparencia/6.1.8.Agenda-activitats-associacions</v>
      </c>
      <c r="M148" s="23">
        <f>IFERROR(IF(Avaluacio[[#This Row],[Avaluable]]="Sí",IF(Avaluacio[[#This Row],[% compliment]]&gt;AVERAGE(Avaluacio[% compliment]),Avaluacio[[#This Row],[% compliment]]+VLOOKUP(Avaluacio[[#This Row],[Codi ítem]],Metodologia[[Codi ítem]:[Prioritat]],COLUMN(Metodologia[[#Headers],[Prioritat]]),FALSE),Avaluacio[[#This Row],[% compliment]]-VLOOKUP(Avaluacio[[#This Row],[Codi ítem]],Metodologia[[Codi ítem]:[Prioritat]],COLUMN(Metodologia[[#Headers],[Prioritat]]),FALSE)),"-"),"-")</f>
        <v>1.0005715450449602</v>
      </c>
      <c r="N148" s="8" t="str">
        <f>Avaluacio[[#This Row],[Codi ítem]]</f>
        <v>XGO147</v>
      </c>
    </row>
    <row r="149" spans="1:14" ht="15" x14ac:dyDescent="0.2">
      <c r="A149" s="6" t="s">
        <v>914</v>
      </c>
      <c r="B149" s="6">
        <f>COUNTIF(Avaluacio[Avaluable],"Sí")</f>
        <v>146</v>
      </c>
      <c r="C149" s="1"/>
      <c r="G149" s="6">
        <f>COUNTIF(Avaluacio[Contingut],"Sí")</f>
        <v>127</v>
      </c>
      <c r="H149" s="6">
        <f>COUNTIF(Avaluacio[Actualització],"Sí")</f>
        <v>128</v>
      </c>
      <c r="I149" s="6"/>
      <c r="J149" s="19">
        <f>COUNTIF(Avaluacio[Grau de compliment],"Compleix totalment")/Avaluacio[[#Totals],[Avaluable]]</f>
        <v>0.86986301369863017</v>
      </c>
      <c r="K149" s="19">
        <f>SUBTOTAL(101,Avaluacio[% compliment])</f>
        <v>0.97368421052631582</v>
      </c>
      <c r="M149" s="19"/>
      <c r="N149" s="19"/>
    </row>
  </sheetData>
  <sheetProtection algorithmName="SHA-512" hashValue="kgVKmN4YWY7uYv7VDfT5daY4fdELkdyrm2oCFoxxXNh46q4GlbgnrlE435FCJ9y167rxKWlmAB4QjgUb1aIpRg==" saltValue="1u/oPrhk3BVG+LiimlfO/g==" spinCount="100000" sheet="1" objects="1" scenarios="1" autoFilter="0"/>
  <conditionalFormatting sqref="A2:N148">
    <cfRule type="expression" dxfId="44" priority="13">
      <formula>$B2="No"</formula>
    </cfRule>
  </conditionalFormatting>
  <conditionalFormatting sqref="G2:H148">
    <cfRule type="cellIs" dxfId="43" priority="2" operator="equal">
      <formula>"Opcional"</formula>
    </cfRule>
    <cfRule type="cellIs" dxfId="42" priority="8" operator="equal">
      <formula>"Sí (confirmar)"</formula>
    </cfRule>
    <cfRule type="cellIs" dxfId="41" priority="9" operator="equal">
      <formula>"N/A"</formula>
    </cfRule>
    <cfRule type="cellIs" dxfId="40" priority="11" operator="equal">
      <formula>"No"</formula>
    </cfRule>
    <cfRule type="cellIs" dxfId="39" priority="12" operator="equal">
      <formula>"Sí"</formula>
    </cfRule>
    <cfRule type="containsBlanks" dxfId="38" priority="14">
      <formula>LEN(TRIM(G2))=0</formula>
    </cfRule>
  </conditionalFormatting>
  <conditionalFormatting sqref="J2:J148">
    <cfRule type="cellIs" dxfId="37" priority="3" operator="equal">
      <formula>"Pendent d'avaluar"</formula>
    </cfRule>
    <cfRule type="cellIs" dxfId="36" priority="4" operator="equal">
      <formula>"No compleix"</formula>
    </cfRule>
    <cfRule type="cellIs" dxfId="35" priority="5" operator="equal">
      <formula>"Compleix parcialment"</formula>
    </cfRule>
    <cfRule type="cellIs" dxfId="34" priority="6" operator="equal">
      <formula>"Compleix totalment"</formula>
    </cfRule>
  </conditionalFormatting>
  <conditionalFormatting sqref="K2:K148 M2:N148">
    <cfRule type="colorScale" priority="1">
      <colorScale>
        <cfvo type="percent" val="0"/>
        <cfvo type="percent" val="50"/>
        <cfvo type="percent" val="100"/>
        <color theme="7" tint="0.59999389629810485"/>
        <color theme="9" tint="0.39997558519241921"/>
        <color theme="5" tint="0.59999389629810485"/>
      </colorScale>
    </cfRule>
  </conditionalFormatting>
  <dataValidations count="1">
    <dataValidation type="list" allowBlank="1" showInputMessage="1" showErrorMessage="1" sqref="G2:H148" xr:uid="{00000000-0002-0000-0100-000000000000}">
      <formula1>Desp4_ValorsAvaluacio</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5"/>
  <sheetViews>
    <sheetView showGridLines="0" topLeftCell="A15" zoomScaleNormal="100" workbookViewId="0">
      <selection activeCell="N16" sqref="N16"/>
    </sheetView>
  </sheetViews>
  <sheetFormatPr baseColWidth="10" defaultColWidth="10.125" defaultRowHeight="14.25" x14ac:dyDescent="0.2"/>
  <sheetData>
    <row r="1" spans="1:10" ht="23.25" x14ac:dyDescent="0.2">
      <c r="A1" s="7" t="str">
        <f>CONCATENATE("Informe d'autoavaluació de la transparència (",AnyAvaluacio,")")</f>
        <v>Informe d'autoavaluació de la transparència (2026)</v>
      </c>
      <c r="B1" s="7"/>
      <c r="C1" s="7"/>
      <c r="D1" s="7"/>
      <c r="E1" s="7"/>
      <c r="F1" s="7"/>
      <c r="G1" s="7"/>
      <c r="H1" s="7"/>
      <c r="I1" s="7"/>
      <c r="J1" s="7"/>
    </row>
    <row r="2" spans="1:10" ht="15.75" x14ac:dyDescent="0.2">
      <c r="A2" s="36" t="str">
        <f>NomEns</f>
        <v xml:space="preserve">Ajuntament de la Tallada d'Empordà </v>
      </c>
      <c r="B2" s="36"/>
      <c r="C2" s="36"/>
      <c r="D2" s="36"/>
      <c r="E2" s="36"/>
      <c r="F2" s="36"/>
      <c r="G2" s="36"/>
      <c r="H2" s="36"/>
      <c r="I2" s="36"/>
      <c r="J2" s="36"/>
    </row>
    <row r="4" spans="1:10" ht="14.25" customHeight="1" x14ac:dyDescent="0.2">
      <c r="A4" s="65" t="str">
        <f>CONCATENATE("Aquest informe mostra els resultats de l'autoavaluació de les obligacions derivades de la Llei 19/2014, de transparència, accés a la informació pública i bon govern, segons la informació i les dades publicades al portal de transparència ",IF(TipusEns="Ajuntament","de l'",IF(TipusEns="Consell comarcal","del ",IF(TipusEns="Diputació","de la ",IF(TipusEns="Entitat metropolitana","de l'",IF(TipusEns="Entitat municipal descentralitzada","de l'",IF(TipusEns="Mancomunitat de municipis","de la ",IF(TipusEns="Aran","del ",IF(TipusEns="Organismes autònom local","de ",IF(TipusEns="Entitat pública empresarial local","de ",IF(TipusEns="Societat mercantil local de capital íntegrament públic","de ",IF(TipusEns="Societat mercantil local de capital mixt","de ",IF(TipusEns="Consorci local","del ",IF(TipusEns="Fundació local","de la ","de "))))))))))))),NomEns," durant l'any ",AnyAvaluacio,".",)</f>
        <v>Aquest informe mostra els resultats de l'autoavaluació de les obligacions derivades de la Llei 19/2014, de transparència, accés a la informació pública i bon govern, segons la informació i les dades publicades al portal de transparència de l'Ajuntament de la Tallada d'Empordà  durant l'any 2026.</v>
      </c>
      <c r="B4" s="65"/>
      <c r="C4" s="65"/>
      <c r="D4" s="65"/>
      <c r="E4" s="65"/>
      <c r="F4" s="65"/>
      <c r="G4" s="65"/>
      <c r="H4" s="65"/>
      <c r="I4" s="9"/>
      <c r="J4" s="9"/>
    </row>
    <row r="5" spans="1:10" x14ac:dyDescent="0.2">
      <c r="A5" s="65"/>
      <c r="B5" s="65"/>
      <c r="C5" s="65"/>
      <c r="D5" s="65"/>
      <c r="E5" s="65"/>
      <c r="F5" s="65"/>
      <c r="G5" s="65"/>
      <c r="H5" s="65"/>
      <c r="I5" s="9"/>
      <c r="J5" s="9"/>
    </row>
    <row r="6" spans="1:10" x14ac:dyDescent="0.2">
      <c r="A6" s="65"/>
      <c r="B6" s="65"/>
      <c r="C6" s="65"/>
      <c r="D6" s="65"/>
      <c r="E6" s="65"/>
      <c r="F6" s="65"/>
      <c r="G6" s="65"/>
      <c r="H6" s="65"/>
      <c r="I6" s="9"/>
      <c r="J6" s="9"/>
    </row>
    <row r="7" spans="1:10" x14ac:dyDescent="0.2">
      <c r="A7" s="65"/>
      <c r="B7" s="65"/>
      <c r="C7" s="65"/>
      <c r="D7" s="65"/>
      <c r="E7" s="65"/>
      <c r="F7" s="65"/>
      <c r="G7" s="65"/>
      <c r="H7" s="65"/>
      <c r="I7" s="9"/>
      <c r="J7" s="9"/>
    </row>
    <row r="8" spans="1:10" x14ac:dyDescent="0.2">
      <c r="A8" s="9"/>
      <c r="B8" s="9"/>
      <c r="C8" s="9"/>
      <c r="D8" s="9"/>
      <c r="E8" s="9"/>
      <c r="F8" s="9"/>
      <c r="G8" s="9"/>
      <c r="H8" s="9"/>
      <c r="I8" s="9"/>
      <c r="J8" s="9"/>
    </row>
    <row r="9" spans="1:10" ht="14.25" customHeight="1" x14ac:dyDescent="0.2">
      <c r="A9" s="65" t="s">
        <v>1229</v>
      </c>
      <c r="B9" s="65"/>
      <c r="C9" s="65"/>
      <c r="D9" s="65"/>
      <c r="E9" s="65"/>
      <c r="F9" s="65"/>
      <c r="G9" s="65"/>
      <c r="H9" s="65"/>
      <c r="I9" s="9"/>
      <c r="J9" s="9"/>
    </row>
    <row r="10" spans="1:10" x14ac:dyDescent="0.2">
      <c r="A10" s="65"/>
      <c r="B10" s="65"/>
      <c r="C10" s="65"/>
      <c r="D10" s="65"/>
      <c r="E10" s="65"/>
      <c r="F10" s="65"/>
      <c r="G10" s="65"/>
      <c r="H10" s="65"/>
      <c r="I10" s="9"/>
      <c r="J10" s="9"/>
    </row>
    <row r="11" spans="1:10" x14ac:dyDescent="0.2">
      <c r="A11" s="65"/>
      <c r="B11" s="65"/>
      <c r="C11" s="65"/>
      <c r="D11" s="65"/>
      <c r="E11" s="65"/>
      <c r="F11" s="65"/>
      <c r="G11" s="65"/>
      <c r="H11" s="65"/>
      <c r="I11" s="9"/>
      <c r="J11" s="9"/>
    </row>
    <row r="12" spans="1:10" x14ac:dyDescent="0.2">
      <c r="A12" s="9"/>
      <c r="B12" s="9"/>
      <c r="C12" s="9"/>
      <c r="E12" s="9"/>
      <c r="F12" s="9"/>
      <c r="G12" s="9"/>
      <c r="H12" s="9"/>
      <c r="I12" s="9"/>
      <c r="J12" s="9"/>
    </row>
    <row r="13" spans="1:10" ht="15" x14ac:dyDescent="0.2">
      <c r="A13" s="41" t="s">
        <v>936</v>
      </c>
      <c r="B13" s="39">
        <f>NumItemsAvaluats</f>
        <v>146</v>
      </c>
      <c r="C13" s="40"/>
      <c r="D13" s="38" t="s">
        <v>926</v>
      </c>
      <c r="E13" s="39" t="str">
        <f>VLOOKUP(FaseAvaluacio,Taula2_Fases[],3,FALSE)</f>
        <v>1, 2, 3, 4 i 5</v>
      </c>
      <c r="F13" s="40"/>
      <c r="G13" s="38" t="s">
        <v>932</v>
      </c>
      <c r="H13" s="46">
        <f>DataAvaluacio</f>
        <v>46205</v>
      </c>
      <c r="J13" s="22"/>
    </row>
    <row r="14" spans="1:10" ht="15" x14ac:dyDescent="0.2">
      <c r="A14" s="12"/>
      <c r="B14" s="15"/>
      <c r="C14" s="13"/>
      <c r="D14" s="12"/>
      <c r="E14" s="15"/>
      <c r="F14" s="13"/>
      <c r="G14" s="13"/>
      <c r="H14" s="15"/>
      <c r="I14" s="16"/>
      <c r="J14" s="22"/>
    </row>
    <row r="15" spans="1:10" ht="15.75" thickBot="1" x14ac:dyDescent="0.25">
      <c r="A15" s="66" t="s">
        <v>937</v>
      </c>
      <c r="B15" s="66"/>
      <c r="C15" s="66"/>
      <c r="D15" s="66"/>
      <c r="E15" s="66"/>
      <c r="F15" s="66"/>
      <c r="G15" s="66"/>
      <c r="H15" s="66"/>
    </row>
    <row r="16" spans="1:10" x14ac:dyDescent="0.2">
      <c r="A16" s="12"/>
      <c r="B16" s="9"/>
      <c r="C16" s="9"/>
      <c r="D16" s="9"/>
      <c r="E16" s="9"/>
      <c r="F16" s="9"/>
      <c r="G16" s="9"/>
      <c r="H16" s="9"/>
      <c r="I16" s="9"/>
      <c r="J16" s="9"/>
    </row>
    <row r="27" spans="1:8" ht="15.75" customHeight="1" thickBot="1" x14ac:dyDescent="0.25">
      <c r="A27" s="66" t="s">
        <v>938</v>
      </c>
      <c r="B27" s="66"/>
      <c r="C27" s="66"/>
      <c r="D27" s="66"/>
      <c r="E27" s="66"/>
      <c r="F27" s="66"/>
      <c r="G27" s="66"/>
      <c r="H27" s="66"/>
    </row>
    <row r="53" spans="1:8" ht="15.75" customHeight="1" thickBot="1" x14ac:dyDescent="0.25">
      <c r="A53" s="66" t="s">
        <v>939</v>
      </c>
      <c r="B53" s="66"/>
      <c r="C53" s="66"/>
      <c r="D53" s="66"/>
      <c r="E53" s="66"/>
      <c r="F53" s="66"/>
      <c r="G53" s="66"/>
      <c r="H53" s="66"/>
    </row>
    <row r="72" spans="1:4" ht="15" customHeight="1" x14ac:dyDescent="0.2">
      <c r="A72" s="68" t="s">
        <v>1224</v>
      </c>
      <c r="B72" s="68"/>
      <c r="C72" s="68"/>
      <c r="D72" s="68"/>
    </row>
    <row r="73" spans="1:4" ht="14.25" customHeight="1" x14ac:dyDescent="0.2">
      <c r="A73" s="69" t="str">
        <f>VLOOKUP(VLOOKUP(LARGE(Avaluacio[Compliment ponderat],1),Avaluacio[[Compliment ponderat]:[Codi bis]],2,FALSE),Avaluacio[[Codi ítem]:[Ítem]],3,FALSE)</f>
        <v>Instància genèrica</v>
      </c>
      <c r="B73" s="69"/>
      <c r="C73" s="69"/>
      <c r="D73" s="69"/>
    </row>
    <row r="74" spans="1:4" ht="14.25" customHeight="1" x14ac:dyDescent="0.2">
      <c r="A74" s="70"/>
      <c r="B74" s="70"/>
      <c r="C74" s="70"/>
      <c r="D74" s="70"/>
    </row>
    <row r="75" spans="1:4" ht="14.25" customHeight="1" x14ac:dyDescent="0.2">
      <c r="A75" s="71"/>
      <c r="B75" s="71"/>
      <c r="C75" s="71"/>
      <c r="D75" s="71"/>
    </row>
    <row r="76" spans="1:4" ht="14.25" customHeight="1" x14ac:dyDescent="0.2">
      <c r="A76" s="69" t="str">
        <f>VLOOKUP(VLOOKUP(LARGE(Avaluacio[Compliment ponderat],2),Avaluacio[[Compliment ponderat]:[Codi bis]],2,FALSE),Avaluacio[[Codi ítem]:[Ítem]],3,FALSE)</f>
        <v>Convocatòries de personal</v>
      </c>
      <c r="B76" s="69"/>
      <c r="C76" s="69"/>
      <c r="D76" s="69"/>
    </row>
    <row r="77" spans="1:4" ht="14.25" customHeight="1" x14ac:dyDescent="0.2">
      <c r="A77" s="70"/>
      <c r="B77" s="70"/>
      <c r="C77" s="70"/>
      <c r="D77" s="70"/>
    </row>
    <row r="78" spans="1:4" ht="14.25" customHeight="1" x14ac:dyDescent="0.2">
      <c r="A78" s="71"/>
      <c r="B78" s="71"/>
      <c r="C78" s="71"/>
      <c r="D78" s="71"/>
    </row>
    <row r="79" spans="1:4" ht="14.25" customHeight="1" x14ac:dyDescent="0.2">
      <c r="A79" s="69" t="str">
        <f>VLOOKUP(VLOOKUP(LARGE(Avaluacio[Compliment ponderat],3),Avaluacio[[Compliment ponderat]:[Codi bis]],2,FALSE),Avaluacio[[Codi ítem]:[Ítem]],3,FALSE)</f>
        <v>Càrrecs electes</v>
      </c>
      <c r="B79" s="69"/>
      <c r="C79" s="69"/>
      <c r="D79" s="69"/>
    </row>
    <row r="80" spans="1:4" ht="14.25" customHeight="1" x14ac:dyDescent="0.2">
      <c r="A80" s="70"/>
      <c r="B80" s="70"/>
      <c r="C80" s="70"/>
      <c r="D80" s="70"/>
    </row>
    <row r="81" spans="1:4" ht="14.25" customHeight="1" x14ac:dyDescent="0.2">
      <c r="A81" s="71"/>
      <c r="B81" s="71"/>
      <c r="C81" s="71"/>
      <c r="D81" s="71"/>
    </row>
    <row r="82" spans="1:4" ht="14.25" customHeight="1" x14ac:dyDescent="0.2">
      <c r="A82" s="69" t="str">
        <f>VLOOKUP(VLOOKUP(LARGE(Avaluacio[Compliment ponderat],4),Avaluacio[[Compliment ponderat]:[Codi bis]],2,FALSE),Avaluacio[[Codi ítem]:[Ítem]],3,FALSE)</f>
        <v>Alts càrrecs, personal directiu i càrrecs eventuals</v>
      </c>
      <c r="B82" s="69"/>
      <c r="C82" s="69"/>
      <c r="D82" s="69"/>
    </row>
    <row r="83" spans="1:4" ht="14.25" customHeight="1" x14ac:dyDescent="0.2">
      <c r="A83" s="70"/>
      <c r="B83" s="70"/>
      <c r="C83" s="70"/>
      <c r="D83" s="70"/>
    </row>
    <row r="84" spans="1:4" ht="14.25" customHeight="1" x14ac:dyDescent="0.2">
      <c r="A84" s="71"/>
      <c r="B84" s="71"/>
      <c r="C84" s="71"/>
      <c r="D84" s="71"/>
    </row>
    <row r="85" spans="1:4" ht="14.25" customHeight="1" x14ac:dyDescent="0.2">
      <c r="A85" s="69" t="str">
        <f>VLOOKUP(VLOOKUP(LARGE(Avaluacio[Compliment ponderat],5),Avaluacio[[Compliment ponderat]:[Codi bis]],2,FALSE),Avaluacio[[Codi ítem]:[Ítem]],3,FALSE)</f>
        <v>Tauler d'edictes i anuncis</v>
      </c>
      <c r="B85" s="69"/>
      <c r="C85" s="69"/>
      <c r="D85" s="69"/>
    </row>
    <row r="86" spans="1:4" ht="14.25" customHeight="1" x14ac:dyDescent="0.2">
      <c r="A86" s="70"/>
      <c r="B86" s="70"/>
      <c r="C86" s="70"/>
      <c r="D86" s="70"/>
    </row>
    <row r="87" spans="1:4" ht="14.25" customHeight="1" x14ac:dyDescent="0.2">
      <c r="A87" s="70"/>
      <c r="B87" s="70"/>
      <c r="C87" s="70"/>
      <c r="D87" s="70"/>
    </row>
    <row r="88" spans="1:4" ht="14.25" customHeight="1" x14ac:dyDescent="0.2">
      <c r="A88" s="9"/>
      <c r="B88" s="9"/>
      <c r="C88" s="9"/>
      <c r="D88" s="9"/>
    </row>
    <row r="89" spans="1:4" ht="14.25" customHeight="1" x14ac:dyDescent="0.2">
      <c r="A89" s="72" t="s">
        <v>1225</v>
      </c>
      <c r="B89" s="72"/>
      <c r="C89" s="72"/>
      <c r="D89" s="72"/>
    </row>
    <row r="90" spans="1:4" ht="14.25" customHeight="1" x14ac:dyDescent="0.2">
      <c r="A90" s="62" t="str">
        <f>VLOOKUP(VLOOKUP(SMALL(Avaluacio[Compliment ponderat],1),Avaluacio[[Compliment ponderat]:[Codi bis]],2,FALSE),Avaluacio[[Codi ítem]:[Ítem]],3,FALSE)</f>
        <v>Retribucions, indemnitzacions i dietes dels empleats públics</v>
      </c>
      <c r="B90" s="62"/>
      <c r="C90" s="62"/>
      <c r="D90" s="62"/>
    </row>
    <row r="91" spans="1:4" ht="14.25" customHeight="1" x14ac:dyDescent="0.2">
      <c r="A91" s="63"/>
      <c r="B91" s="63"/>
      <c r="C91" s="63"/>
      <c r="D91" s="63"/>
    </row>
    <row r="92" spans="1:4" ht="14.25" customHeight="1" x14ac:dyDescent="0.2">
      <c r="A92" s="64"/>
      <c r="B92" s="64"/>
      <c r="C92" s="64"/>
      <c r="D92" s="64"/>
    </row>
    <row r="93" spans="1:4" ht="14.25" customHeight="1" x14ac:dyDescent="0.2">
      <c r="A93" s="62" t="str">
        <f>VLOOKUP(VLOOKUP(SMALL(Avaluacio[Compliment ponderat],2),Avaluacio[[Compliment ponderat]:[Codi bis]],2,FALSE),Avaluacio[[Codi ítem]:[Ítem]],3,FALSE)</f>
        <v>Normativa, reglaments i directrius de participació ciutadana</v>
      </c>
      <c r="B93" s="62"/>
      <c r="C93" s="62"/>
      <c r="D93" s="62"/>
    </row>
    <row r="94" spans="1:4" ht="14.25" customHeight="1" x14ac:dyDescent="0.2">
      <c r="A94" s="63"/>
      <c r="B94" s="63"/>
      <c r="C94" s="63"/>
      <c r="D94" s="63"/>
    </row>
    <row r="95" spans="1:4" ht="14.25" customHeight="1" x14ac:dyDescent="0.2">
      <c r="A95" s="64"/>
      <c r="B95" s="64"/>
      <c r="C95" s="64"/>
      <c r="D95" s="64"/>
    </row>
    <row r="96" spans="1:4" ht="14.25" customHeight="1" x14ac:dyDescent="0.2">
      <c r="A96" s="62" t="str">
        <f>VLOOKUP(VLOOKUP(SMALL(Avaluacio[Compliment ponderat],3),Avaluacio[[Compliment ponderat]:[Codi bis]],2,FALSE),Avaluacio[[Codi ítem]:[Ítem]],3,FALSE)</f>
        <v>Convenis, acords, pactes de caràcter funcionarial, laboral o sindical</v>
      </c>
      <c r="B96" s="62"/>
      <c r="C96" s="62"/>
      <c r="D96" s="62"/>
    </row>
    <row r="97" spans="1:8" ht="14.25" customHeight="1" x14ac:dyDescent="0.2">
      <c r="A97" s="63"/>
      <c r="B97" s="63"/>
      <c r="C97" s="63"/>
      <c r="D97" s="63"/>
    </row>
    <row r="98" spans="1:8" ht="14.25" customHeight="1" x14ac:dyDescent="0.2">
      <c r="A98" s="64"/>
      <c r="B98" s="64"/>
      <c r="C98" s="64"/>
      <c r="D98" s="64"/>
    </row>
    <row r="99" spans="1:8" ht="14.25" customHeight="1" x14ac:dyDescent="0.2">
      <c r="A99" s="62" t="str">
        <f>VLOOKUP(VLOOKUP(SMALL(Avaluacio[Compliment ponderat],4),Avaluacio[[Compliment ponderat]:[Codi bis]],2,FALSE),Avaluacio[[Codi ítem]:[Ítem]],3,FALSE)</f>
        <v>Subvencions atorgades</v>
      </c>
      <c r="B99" s="62"/>
      <c r="C99" s="62"/>
      <c r="D99" s="62"/>
    </row>
    <row r="100" spans="1:8" x14ac:dyDescent="0.2">
      <c r="A100" s="63"/>
      <c r="B100" s="63"/>
      <c r="C100" s="63"/>
      <c r="D100" s="63"/>
    </row>
    <row r="101" spans="1:8" x14ac:dyDescent="0.2">
      <c r="A101" s="64"/>
      <c r="B101" s="64"/>
      <c r="C101" s="64"/>
      <c r="D101" s="64"/>
    </row>
    <row r="102" spans="1:8" ht="14.25" customHeight="1" x14ac:dyDescent="0.2">
      <c r="A102" s="62" t="str">
        <f>VLOOKUP(VLOOKUP(SMALL(Avaluacio[Compliment ponderat],5),Avaluacio[[Compliment ponderat]:[Codi bis]],2,FALSE),Avaluacio[[Codi ítem]:[Ítem]],3,FALSE)</f>
        <v>Resolucions relatives a les declaracions d'activitats, patrimonials i d'interessos dels alts càrrecs i del personal directiu</v>
      </c>
      <c r="B102" s="62"/>
      <c r="C102" s="62"/>
      <c r="D102" s="62"/>
    </row>
    <row r="103" spans="1:8" x14ac:dyDescent="0.2">
      <c r="A103" s="63"/>
      <c r="B103" s="63"/>
      <c r="C103" s="63"/>
      <c r="D103" s="63"/>
    </row>
    <row r="104" spans="1:8" x14ac:dyDescent="0.2">
      <c r="A104" s="63"/>
      <c r="B104" s="63"/>
      <c r="C104" s="63"/>
      <c r="D104" s="63"/>
    </row>
    <row r="105" spans="1:8" x14ac:dyDescent="0.2">
      <c r="A105" s="9"/>
      <c r="B105" s="9"/>
      <c r="C105" s="9"/>
      <c r="D105" s="9"/>
      <c r="E105" s="9"/>
    </row>
    <row r="106" spans="1:8" ht="15.75" customHeight="1" thickBot="1" x14ac:dyDescent="0.25">
      <c r="A106" s="67" t="str">
        <f>CONCATENATE("Valoració individual dels ",'1_Plantejament'!B8," ítems avaluats")</f>
        <v>Valoració individual dels 146 ítems avaluats</v>
      </c>
      <c r="B106" s="67"/>
      <c r="C106" s="67"/>
      <c r="D106" s="67"/>
      <c r="E106" s="67"/>
      <c r="F106" s="67"/>
      <c r="G106" s="67"/>
      <c r="H106" s="67"/>
    </row>
    <row r="108" spans="1:8" ht="30" customHeight="1" x14ac:dyDescent="0.2">
      <c r="A108" s="31" t="s">
        <v>1218</v>
      </c>
      <c r="B108" s="37" t="s">
        <v>887</v>
      </c>
      <c r="C108" s="29" t="s">
        <v>1226</v>
      </c>
      <c r="D108" s="29" t="s">
        <v>1226</v>
      </c>
      <c r="E108" s="31" t="s">
        <v>1226</v>
      </c>
      <c r="F108" s="31" t="s">
        <v>640</v>
      </c>
      <c r="G108" s="31" t="s">
        <v>641</v>
      </c>
      <c r="H108" s="31" t="s">
        <v>654</v>
      </c>
    </row>
    <row r="109" spans="1:8" ht="30" customHeight="1" x14ac:dyDescent="0.2">
      <c r="A109" s="28" t="str">
        <f t="array" ref="A109">IFERROR(INDEX(Avaluacio[Codi ítem],(MATCH(0,INDEX(COUNTIF($A$108:A108,Avaluacio[Codi ítem]),0,0)+INDEX(Avaluacio[Avaluable]="No",0,0),0))),"")</f>
        <v>XGO001</v>
      </c>
      <c r="B109" s="61" t="str">
        <f t="array" ref="B109">IFERROR(VLOOKUP(A109,Avaluacio[#Data],COLUMN(Avaluacio[Ítem]),FALSE),"")</f>
        <v>Competències i funcions</v>
      </c>
      <c r="C109" s="61"/>
      <c r="D109" s="61"/>
      <c r="E109" s="61"/>
      <c r="F109" s="28" t="str">
        <f t="array" ref="F109">IFERROR(VLOOKUP(A109,Avaluacio[],COLUMN(Avaluacio[Contingut]),FALSE),"")</f>
        <v>Sí</v>
      </c>
      <c r="G109" s="28" t="str">
        <f t="array" ref="G109">IFERROR(VLOOKUP(A109,Avaluacio[],COLUMN(Avaluacio[Actualització]),FALSE),"")</f>
        <v>Sí</v>
      </c>
      <c r="H109" s="28" t="str">
        <f t="array" ref="H109">IFERROR(VLOOKUP(A109,Avaluacio[#Data],COLUMN(Avaluacio[Grau de compliment]),FALSE),"")</f>
        <v>Compleix totalment</v>
      </c>
    </row>
    <row r="110" spans="1:8" ht="30" customHeight="1" x14ac:dyDescent="0.2">
      <c r="A110" s="28" t="str">
        <f t="array" ref="A110">IFERROR(INDEX(Avaluacio[Codi ítem],(MATCH(0,INDEX(COUNTIF($A$108:A109,Avaluacio[Codi ítem]),0,0)+INDEX(Avaluacio[Avaluable]="No",0,0),0))),"")</f>
        <v>XGO002</v>
      </c>
      <c r="B110" s="61" t="str">
        <f t="array" ref="B110">IFERROR(VLOOKUP(A110,Avaluacio[#Data],COLUMN(Avaluacio[Ítem]),FALSE),"")</f>
        <v>Organigrama de l'ens</v>
      </c>
      <c r="C110" s="61"/>
      <c r="D110" s="61"/>
      <c r="E110" s="61"/>
      <c r="F110" s="28" t="str">
        <f t="array" ref="F110">IFERROR(VLOOKUP(A110,Avaluacio[],COLUMN(Avaluacio[Contingut]),FALSE),"")</f>
        <v>Sí</v>
      </c>
      <c r="G110" s="28" t="str">
        <f t="array" ref="G110">IFERROR(VLOOKUP(A110,Avaluacio[],COLUMN(Avaluacio[Actualització]),FALSE),"")</f>
        <v>Sí</v>
      </c>
      <c r="H110" s="28" t="str">
        <f t="array" ref="H110">IFERROR(VLOOKUP(A110,Avaluacio[#Data],COLUMN(Avaluacio[Grau de compliment]),FALSE),"")</f>
        <v>Compleix totalment</v>
      </c>
    </row>
    <row r="111" spans="1:8" ht="30" customHeight="1" x14ac:dyDescent="0.2">
      <c r="A111" s="28" t="str">
        <f t="array" ref="A111">IFERROR(INDEX(Avaluacio[Codi ítem],(MATCH(0,INDEX(COUNTIF($A$108:A110,Avaluacio[Codi ítem]),0,0)+INDEX(Avaluacio[Avaluable]="No",0,0),0))),"")</f>
        <v>XGO003</v>
      </c>
      <c r="B111" s="61" t="str">
        <f t="array" ref="B111">IFERROR(VLOOKUP(A111,Avaluacio[#Data],COLUMN(Avaluacio[Ítem]),FALSE),"")</f>
        <v>Organismes dependents o vinculats</v>
      </c>
      <c r="C111" s="61"/>
      <c r="D111" s="61"/>
      <c r="E111" s="61"/>
      <c r="F111" s="28" t="str">
        <f t="array" ref="F111">IFERROR(VLOOKUP(A111,Avaluacio[],COLUMN(Avaluacio[Contingut]),FALSE),"")</f>
        <v>Sí</v>
      </c>
      <c r="G111" s="28" t="str">
        <f t="array" ref="G111">IFERROR(VLOOKUP(A111,Avaluacio[],COLUMN(Avaluacio[Actualització]),FALSE),"")</f>
        <v>Sí</v>
      </c>
      <c r="H111" s="28" t="str">
        <f t="array" ref="H111">IFERROR(VLOOKUP(A111,Avaluacio[#Data],COLUMN(Avaluacio[Grau de compliment]),FALSE),"")</f>
        <v>Compleix totalment</v>
      </c>
    </row>
    <row r="112" spans="1:8" ht="30" customHeight="1" x14ac:dyDescent="0.2">
      <c r="A112" s="28" t="str">
        <f t="array" ref="A112">IFERROR(INDEX(Avaluacio[Codi ítem],(MATCH(0,INDEX(COUNTIF($A$108:A111,Avaluacio[Codi ítem]),0,0)+INDEX(Avaluacio[Avaluable]="No",0,0),0))),"")</f>
        <v>XGO004</v>
      </c>
      <c r="B112" s="61" t="str">
        <f t="array" ref="B112">IFERROR(VLOOKUP(A112,Avaluacio[#Data],COLUMN(Avaluacio[Ítem]),FALSE),"")</f>
        <v>Organismes dels que forma part</v>
      </c>
      <c r="C112" s="61"/>
      <c r="D112" s="61"/>
      <c r="E112" s="61"/>
      <c r="F112" s="28" t="str">
        <f t="array" ref="F112">IFERROR(VLOOKUP(A112,Avaluacio[],COLUMN(Avaluacio[Contingut]),FALSE),"")</f>
        <v>Sí</v>
      </c>
      <c r="G112" s="28" t="str">
        <f t="array" ref="G112">IFERROR(VLOOKUP(A112,Avaluacio[],COLUMN(Avaluacio[Actualització]),FALSE),"")</f>
        <v>Sí</v>
      </c>
      <c r="H112" s="28" t="str">
        <f t="array" ref="H112">IFERROR(VLOOKUP(A112,Avaluacio[#Data],COLUMN(Avaluacio[Grau de compliment]),FALSE),"")</f>
        <v>Compleix totalment</v>
      </c>
    </row>
    <row r="113" spans="1:8" ht="30" customHeight="1" x14ac:dyDescent="0.2">
      <c r="A113" s="28" t="str">
        <f t="array" ref="A113">IFERROR(INDEX(Avaluacio[Codi ítem],(MATCH(0,INDEX(COUNTIF($A$108:A112,Avaluacio[Codi ítem]),0,0)+INDEX(Avaluacio[Avaluable]="No",0,0),0))),"")</f>
        <v>XGO006</v>
      </c>
      <c r="B113" s="61" t="str">
        <f t="array" ref="B113">IFERROR(VLOOKUP(A113,Avaluacio[#Data],COLUMN(Avaluacio[Ítem]),FALSE),"")</f>
        <v>Agenda institucional dels alts càrrecs i personal directiu</v>
      </c>
      <c r="C113" s="61"/>
      <c r="D113" s="61"/>
      <c r="E113" s="61"/>
      <c r="F113" s="28" t="str">
        <f t="array" ref="F113">IFERROR(VLOOKUP(A113,Avaluacio[],COLUMN(Avaluacio[Contingut]),FALSE),"")</f>
        <v>No</v>
      </c>
      <c r="G113" s="28" t="str">
        <f t="array" ref="G113">IFERROR(VLOOKUP(A113,Avaluacio[],COLUMN(Avaluacio[Actualització]),FALSE),"")</f>
        <v>No</v>
      </c>
      <c r="H113" s="28" t="str">
        <f t="array" ref="H113">IFERROR(VLOOKUP(A113,Avaluacio[#Data],COLUMN(Avaluacio[Grau de compliment]),FALSE),"")</f>
        <v>No compleix</v>
      </c>
    </row>
    <row r="114" spans="1:8" ht="30" customHeight="1" x14ac:dyDescent="0.2">
      <c r="A114" s="28" t="str">
        <f t="array" ref="A114">IFERROR(INDEX(Avaluacio[Codi ítem],(MATCH(0,INDEX(COUNTIF($A$108:A113,Avaluacio[Codi ítem]),0,0)+INDEX(Avaluacio[Avaluable]="No",0,0),0))),"")</f>
        <v>XGO007</v>
      </c>
      <c r="B114" s="61" t="str">
        <f t="array" ref="B114">IFERROR(VLOOKUP(A114,Avaluacio[#Data],COLUMN(Avaluacio[Ítem]),FALSE),"")</f>
        <v>Relació d'obsequis als alts càrrecs i personal directiu</v>
      </c>
      <c r="C114" s="61"/>
      <c r="D114" s="61"/>
      <c r="E114" s="61"/>
      <c r="F114" s="28" t="str">
        <f t="array" ref="F114">IFERROR(VLOOKUP(A114,Avaluacio[],COLUMN(Avaluacio[Contingut]),FALSE),"")</f>
        <v>Sí</v>
      </c>
      <c r="G114" s="28" t="str">
        <f t="array" ref="G114">IFERROR(VLOOKUP(A114,Avaluacio[],COLUMN(Avaluacio[Actualització]),FALSE),"")</f>
        <v>Sí</v>
      </c>
      <c r="H114" s="28" t="str">
        <f t="array" ref="H114">IFERROR(VLOOKUP(A114,Avaluacio[#Data],COLUMN(Avaluacio[Grau de compliment]),FALSE),"")</f>
        <v>Compleix totalment</v>
      </c>
    </row>
    <row r="115" spans="1:8" ht="30" customHeight="1" x14ac:dyDescent="0.2">
      <c r="A115" s="28" t="str">
        <f t="array" ref="A115">IFERROR(INDEX(Avaluacio[Codi ítem],(MATCH(0,INDEX(COUNTIF($A$108:A114,Avaluacio[Codi ítem]),0,0)+INDEX(Avaluacio[Avaluable]="No",0,0),0))),"")</f>
        <v>XGO008</v>
      </c>
      <c r="B115" s="61" t="str">
        <f t="array" ref="B115">IFERROR(VLOOKUP(A115,Avaluacio[#Data],COLUMN(Avaluacio[Ítem]),FALSE),"")</f>
        <v>Relació d'invitacions als alts càrrecs i personal directiu</v>
      </c>
      <c r="C115" s="61"/>
      <c r="D115" s="61"/>
      <c r="E115" s="61"/>
      <c r="F115" s="28" t="str">
        <f t="array" ref="F115">IFERROR(VLOOKUP(A115,Avaluacio[],COLUMN(Avaluacio[Contingut]),FALSE),"")</f>
        <v>Sí</v>
      </c>
      <c r="G115" s="28" t="str">
        <f t="array" ref="G115">IFERROR(VLOOKUP(A115,Avaluacio[],COLUMN(Avaluacio[Actualització]),FALSE),"")</f>
        <v>Sí</v>
      </c>
      <c r="H115" s="28" t="str">
        <f t="array" ref="H115">IFERROR(VLOOKUP(A115,Avaluacio[#Data],COLUMN(Avaluacio[Grau de compliment]),FALSE),"")</f>
        <v>Compleix totalment</v>
      </c>
    </row>
    <row r="116" spans="1:8" ht="30" customHeight="1" x14ac:dyDescent="0.2">
      <c r="A116" s="28" t="str">
        <f t="array" ref="A116">IFERROR(INDEX(Avaluacio[Codi ítem],(MATCH(0,INDEX(COUNTIF($A$108:A115,Avaluacio[Codi ítem]),0,0)+INDEX(Avaluacio[Avaluable]="No",0,0),0))),"")</f>
        <v>XGO009</v>
      </c>
      <c r="B116" s="61" t="str">
        <f t="array" ref="B116">IFERROR(VLOOKUP(A116,Avaluacio[#Data],COLUMN(Avaluacio[Ítem]),FALSE),"")</f>
        <v>Agenda d'activitats</v>
      </c>
      <c r="C116" s="61"/>
      <c r="D116" s="61"/>
      <c r="E116" s="61"/>
      <c r="F116" s="28" t="str">
        <f t="array" ref="F116">IFERROR(VLOOKUP(A116,Avaluacio[],COLUMN(Avaluacio[Contingut]),FALSE),"")</f>
        <v>Sí</v>
      </c>
      <c r="G116" s="28" t="str">
        <f t="array" ref="G116">IFERROR(VLOOKUP(A116,Avaluacio[],COLUMN(Avaluacio[Actualització]),FALSE),"")</f>
        <v>Sí</v>
      </c>
      <c r="H116" s="28" t="str">
        <f t="array" ref="H116">IFERROR(VLOOKUP(A116,Avaluacio[#Data],COLUMN(Avaluacio[Grau de compliment]),FALSE),"")</f>
        <v>Compleix totalment</v>
      </c>
    </row>
    <row r="117" spans="1:8" ht="30" customHeight="1" x14ac:dyDescent="0.2">
      <c r="A117" s="28" t="str">
        <f t="array" ref="A117">IFERROR(INDEX(Avaluacio[Codi ítem],(MATCH(0,INDEX(COUNTIF($A$108:A116,Avaluacio[Codi ítem]),0,0)+INDEX(Avaluacio[Avaluable]="No",0,0),0))),"")</f>
        <v>XGO010</v>
      </c>
      <c r="B117" s="61" t="str">
        <f t="array" ref="B117">IFERROR(VLOOKUP(A117,Avaluacio[#Data],COLUMN(Avaluacio[Ítem]),FALSE),"")</f>
        <v>Dades generals de l'ens</v>
      </c>
      <c r="C117" s="61"/>
      <c r="D117" s="61"/>
      <c r="E117" s="61"/>
      <c r="F117" s="28" t="str">
        <f t="array" ref="F117">IFERROR(VLOOKUP(A117,Avaluacio[],COLUMN(Avaluacio[Contingut]),FALSE),"")</f>
        <v>Sí</v>
      </c>
      <c r="G117" s="28" t="str">
        <f t="array" ref="G117">IFERROR(VLOOKUP(A117,Avaluacio[],COLUMN(Avaluacio[Actualització]),FALSE),"")</f>
        <v>Sí</v>
      </c>
      <c r="H117" s="28" t="str">
        <f t="array" ref="H117">IFERROR(VLOOKUP(A117,Avaluacio[#Data],COLUMN(Avaluacio[Grau de compliment]),FALSE),"")</f>
        <v>Compleix totalment</v>
      </c>
    </row>
    <row r="118" spans="1:8" ht="30" customHeight="1" x14ac:dyDescent="0.2">
      <c r="A118" s="28" t="str">
        <f t="array" ref="A118">IFERROR(INDEX(Avaluacio[Codi ítem],(MATCH(0,INDEX(COUNTIF($A$108:A117,Avaluacio[Codi ítem]),0,0)+INDEX(Avaluacio[Avaluable]="No",0,0),0))),"")</f>
        <v>XGO011</v>
      </c>
      <c r="B118" s="61" t="str">
        <f t="array" ref="B118">IFERROR(VLOOKUP(A118,Avaluacio[#Data],COLUMN(Avaluacio[Ítem]),FALSE),"")</f>
        <v>Informació històrica sobre el municipi</v>
      </c>
      <c r="C118" s="61"/>
      <c r="D118" s="61"/>
      <c r="E118" s="61"/>
      <c r="F118" s="28" t="str">
        <f t="array" ref="F118">IFERROR(VLOOKUP(A118,Avaluacio[],COLUMN(Avaluacio[Contingut]),FALSE),"")</f>
        <v>Sí</v>
      </c>
      <c r="G118" s="28" t="str">
        <f t="array" ref="G118">IFERROR(VLOOKUP(A118,Avaluacio[],COLUMN(Avaluacio[Actualització]),FALSE),"")</f>
        <v>Sí</v>
      </c>
      <c r="H118" s="28" t="str">
        <f t="array" ref="H118">IFERROR(VLOOKUP(A118,Avaluacio[#Data],COLUMN(Avaluacio[Grau de compliment]),FALSE),"")</f>
        <v>Compleix totalment</v>
      </c>
    </row>
    <row r="119" spans="1:8" ht="30" customHeight="1" x14ac:dyDescent="0.2">
      <c r="A119" s="28" t="str">
        <f t="array" ref="A119">IFERROR(INDEX(Avaluacio[Codi ítem],(MATCH(0,INDEX(COUNTIF($A$108:A118,Avaluacio[Codi ítem]),0,0)+INDEX(Avaluacio[Avaluable]="No",0,0),0))),"")</f>
        <v>XGO012</v>
      </c>
      <c r="B119" s="61" t="str">
        <f t="array" ref="B119">IFERROR(VLOOKUP(A119,Avaluacio[#Data],COLUMN(Avaluacio[Ítem]),FALSE),"")</f>
        <v>Informació del terme municipal</v>
      </c>
      <c r="C119" s="61"/>
      <c r="D119" s="61"/>
      <c r="E119" s="61"/>
      <c r="F119" s="28" t="str">
        <f t="array" ref="F119">IFERROR(VLOOKUP(A119,Avaluacio[],COLUMN(Avaluacio[Contingut]),FALSE),"")</f>
        <v>Sí</v>
      </c>
      <c r="G119" s="28" t="str">
        <f t="array" ref="G119">IFERROR(VLOOKUP(A119,Avaluacio[],COLUMN(Avaluacio[Actualització]),FALSE),"")</f>
        <v>Sí</v>
      </c>
      <c r="H119" s="28" t="str">
        <f t="array" ref="H119">IFERROR(VLOOKUP(A119,Avaluacio[#Data],COLUMN(Avaluacio[Grau de compliment]),FALSE),"")</f>
        <v>Compleix totalment</v>
      </c>
    </row>
    <row r="120" spans="1:8" ht="30" customHeight="1" x14ac:dyDescent="0.2">
      <c r="A120" s="28" t="str">
        <f t="array" ref="A120">IFERROR(INDEX(Avaluacio[Codi ítem],(MATCH(0,INDEX(COUNTIF($A$108:A119,Avaluacio[Codi ítem]),0,0)+INDEX(Avaluacio[Avaluable]="No",0,0),0))),"")</f>
        <v>XGO013</v>
      </c>
      <c r="B120" s="61" t="str">
        <f t="array" ref="B120">IFERROR(VLOOKUP(A120,Avaluacio[#Data],COLUMN(Avaluacio[Ítem]),FALSE),"")</f>
        <v>Dades estadístiques</v>
      </c>
      <c r="C120" s="61"/>
      <c r="D120" s="61"/>
      <c r="E120" s="61"/>
      <c r="F120" s="28" t="str">
        <f t="array" ref="F120">IFERROR(VLOOKUP(A120,Avaluacio[],COLUMN(Avaluacio[Contingut]),FALSE),"")</f>
        <v>Sí</v>
      </c>
      <c r="G120" s="28" t="str">
        <f t="array" ref="G120">IFERROR(VLOOKUP(A120,Avaluacio[],COLUMN(Avaluacio[Actualització]),FALSE),"")</f>
        <v>Sí</v>
      </c>
      <c r="H120" s="28" t="str">
        <f t="array" ref="H120">IFERROR(VLOOKUP(A120,Avaluacio[#Data],COLUMN(Avaluacio[Grau de compliment]),FALSE),"")</f>
        <v>Compleix totalment</v>
      </c>
    </row>
    <row r="121" spans="1:8" ht="30" customHeight="1" x14ac:dyDescent="0.2">
      <c r="A121" s="28" t="str">
        <f t="array" ref="A121">IFERROR(INDEX(Avaluacio[Codi ítem],(MATCH(0,INDEX(COUNTIF($A$108:A120,Avaluacio[Codi ítem]),0,0)+INDEX(Avaluacio[Avaluable]="No",0,0),0))),"")</f>
        <v>XGO014</v>
      </c>
      <c r="B121" s="61" t="str">
        <f t="array" ref="B121">IFERROR(VLOOKUP(A121,Avaluacio[#Data],COLUMN(Avaluacio[Ítem]),FALSE),"")</f>
        <v>Registre de funcionaris habilitats</v>
      </c>
      <c r="C121" s="61"/>
      <c r="D121" s="61"/>
      <c r="E121" s="61"/>
      <c r="F121" s="28" t="str">
        <f t="array" ref="F121">IFERROR(VLOOKUP(A121,Avaluacio[],COLUMN(Avaluacio[Contingut]),FALSE),"")</f>
        <v>Sí</v>
      </c>
      <c r="G121" s="28" t="str">
        <f t="array" ref="G121">IFERROR(VLOOKUP(A121,Avaluacio[],COLUMN(Avaluacio[Actualització]),FALSE),"")</f>
        <v>Sí</v>
      </c>
      <c r="H121" s="28" t="str">
        <f t="array" ref="H121">IFERROR(VLOOKUP(A121,Avaluacio[#Data],COLUMN(Avaluacio[Grau de compliment]),FALSE),"")</f>
        <v>Compleix totalment</v>
      </c>
    </row>
    <row r="122" spans="1:8" ht="30" customHeight="1" x14ac:dyDescent="0.2">
      <c r="A122" s="28" t="str">
        <f t="array" ref="A122">IFERROR(INDEX(Avaluacio[Codi ítem],(MATCH(0,INDEX(COUNTIF($A$108:A121,Avaluacio[Codi ítem]),0,0)+INDEX(Avaluacio[Avaluable]="No",0,0),0))),"")</f>
        <v>XGO015</v>
      </c>
      <c r="B122" s="61" t="str">
        <f t="array" ref="B122">IFERROR(VLOOKUP(A122,Avaluacio[#Data],COLUMN(Avaluacio[Ítem]),FALSE),"")</f>
        <v>Informació proporcionada per les entitats privades</v>
      </c>
      <c r="C122" s="61"/>
      <c r="D122" s="61"/>
      <c r="E122" s="61"/>
      <c r="F122" s="28" t="str">
        <f t="array" ref="F122">IFERROR(VLOOKUP(A122,Avaluacio[],COLUMN(Avaluacio[Contingut]),FALSE),"")</f>
        <v>Sí</v>
      </c>
      <c r="G122" s="28" t="str">
        <f t="array" ref="G122">IFERROR(VLOOKUP(A122,Avaluacio[],COLUMN(Avaluacio[Actualització]),FALSE),"")</f>
        <v>Sí</v>
      </c>
      <c r="H122" s="28" t="str">
        <f t="array" ref="H122">IFERROR(VLOOKUP(A122,Avaluacio[#Data],COLUMN(Avaluacio[Grau de compliment]),FALSE),"")</f>
        <v>Compleix totalment</v>
      </c>
    </row>
    <row r="123" spans="1:8" ht="30" customHeight="1" x14ac:dyDescent="0.2">
      <c r="A123" s="28" t="str">
        <f t="array" ref="A123">IFERROR(INDEX(Avaluacio[Codi ítem],(MATCH(0,INDEX(COUNTIF($A$108:A122,Avaluacio[Codi ítem]),0,0)+INDEX(Avaluacio[Avaluable]="No",0,0),0))),"")</f>
        <v>XGO016</v>
      </c>
      <c r="B123" s="61" t="str">
        <f t="array" ref="B123">IFERROR(VLOOKUP(A123,Avaluacio[#Data],COLUMN(Avaluacio[Ítem]),FALSE),"")</f>
        <v>Cartipàs: organització política</v>
      </c>
      <c r="C123" s="61"/>
      <c r="D123" s="61"/>
      <c r="E123" s="61"/>
      <c r="F123" s="28" t="str">
        <f t="array" ref="F123">IFERROR(VLOOKUP(A123,Avaluacio[],COLUMN(Avaluacio[Contingut]),FALSE),"")</f>
        <v>Sí</v>
      </c>
      <c r="G123" s="28" t="str">
        <f t="array" ref="G123">IFERROR(VLOOKUP(A123,Avaluacio[],COLUMN(Avaluacio[Actualització]),FALSE),"")</f>
        <v>Sí</v>
      </c>
      <c r="H123" s="28" t="str">
        <f t="array" ref="H123">IFERROR(VLOOKUP(A123,Avaluacio[#Data],COLUMN(Avaluacio[Grau de compliment]),FALSE),"")</f>
        <v>Compleix totalment</v>
      </c>
    </row>
    <row r="124" spans="1:8" ht="30" customHeight="1" x14ac:dyDescent="0.2">
      <c r="A124" s="28" t="str">
        <f t="array" ref="A124">IFERROR(INDEX(Avaluacio[Codi ítem],(MATCH(0,INDEX(COUNTIF($A$108:A123,Avaluacio[Codi ítem]),0,0)+INDEX(Avaluacio[Avaluable]="No",0,0),0))),"")</f>
        <v>XGO017</v>
      </c>
      <c r="B124" s="61" t="str">
        <f t="array" ref="B124">IFERROR(VLOOKUP(A124,Avaluacio[#Data],COLUMN(Avaluacio[Ítem]),FALSE),"")</f>
        <v>Càrrecs electes</v>
      </c>
      <c r="C124" s="61"/>
      <c r="D124" s="61"/>
      <c r="E124" s="61"/>
      <c r="F124" s="28" t="str">
        <f t="array" ref="F124">IFERROR(VLOOKUP(A124,Avaluacio[],COLUMN(Avaluacio[Contingut]),FALSE),"")</f>
        <v>Sí</v>
      </c>
      <c r="G124" s="28" t="str">
        <f t="array" ref="G124">IFERROR(VLOOKUP(A124,Avaluacio[],COLUMN(Avaluacio[Actualització]),FALSE),"")</f>
        <v>Sí</v>
      </c>
      <c r="H124" s="28" t="str">
        <f t="array" ref="H124">IFERROR(VLOOKUP(A124,Avaluacio[#Data],COLUMN(Avaluacio[Grau de compliment]),FALSE),"")</f>
        <v>Compleix totalment</v>
      </c>
    </row>
    <row r="125" spans="1:8" ht="30" customHeight="1" x14ac:dyDescent="0.2">
      <c r="A125" s="28" t="str">
        <f t="array" ref="A125">IFERROR(INDEX(Avaluacio[Codi ítem],(MATCH(0,INDEX(COUNTIF($A$108:A124,Avaluacio[Codi ítem]),0,0)+INDEX(Avaluacio[Avaluable]="No",0,0),0))),"")</f>
        <v>XGO018</v>
      </c>
      <c r="B125" s="61" t="str">
        <f t="array" ref="B125">IFERROR(VLOOKUP(A125,Avaluacio[#Data],COLUMN(Avaluacio[Ítem]),FALSE),"")</f>
        <v>Grups polítics/municipals</v>
      </c>
      <c r="C125" s="61"/>
      <c r="D125" s="61"/>
      <c r="E125" s="61"/>
      <c r="F125" s="28" t="str">
        <f t="array" ref="F125">IFERROR(VLOOKUP(A125,Avaluacio[],COLUMN(Avaluacio[Contingut]),FALSE),"")</f>
        <v>Sí</v>
      </c>
      <c r="G125" s="28" t="str">
        <f t="array" ref="G125">IFERROR(VLOOKUP(A125,Avaluacio[],COLUMN(Avaluacio[Actualització]),FALSE),"")</f>
        <v>Sí</v>
      </c>
      <c r="H125" s="28" t="str">
        <f t="array" ref="H125">IFERROR(VLOOKUP(A125,Avaluacio[#Data],COLUMN(Avaluacio[Grau de compliment]),FALSE),"")</f>
        <v>Compleix totalment</v>
      </c>
    </row>
    <row r="126" spans="1:8" ht="30" customHeight="1" x14ac:dyDescent="0.2">
      <c r="A126" s="28" t="str">
        <f t="array" ref="A126">IFERROR(INDEX(Avaluacio[Codi ítem],(MATCH(0,INDEX(COUNTIF($A$108:A125,Avaluacio[Codi ítem]),0,0)+INDEX(Avaluacio[Avaluable]="No",0,0),0))),"")</f>
        <v>XGO019</v>
      </c>
      <c r="B126" s="61" t="str">
        <f t="array" ref="B126">IFERROR(VLOOKUP(A126,Avaluacio[#Data],COLUMN(Avaluacio[Ítem]),FALSE),"")</f>
        <v>Òrgans de govern i funcions</v>
      </c>
      <c r="C126" s="61"/>
      <c r="D126" s="61"/>
      <c r="E126" s="61"/>
      <c r="F126" s="28" t="str">
        <f t="array" ref="F126">IFERROR(VLOOKUP(A126,Avaluacio[],COLUMN(Avaluacio[Contingut]),FALSE),"")</f>
        <v>Sí</v>
      </c>
      <c r="G126" s="28" t="str">
        <f t="array" ref="G126">IFERROR(VLOOKUP(A126,Avaluacio[],COLUMN(Avaluacio[Actualització]),FALSE),"")</f>
        <v>Sí</v>
      </c>
      <c r="H126" s="28" t="str">
        <f t="array" ref="H126">IFERROR(VLOOKUP(A126,Avaluacio[#Data],COLUMN(Avaluacio[Grau de compliment]),FALSE),"")</f>
        <v>Compleix totalment</v>
      </c>
    </row>
    <row r="127" spans="1:8" ht="30" customHeight="1" x14ac:dyDescent="0.2">
      <c r="A127" s="28" t="str">
        <f t="array" ref="A127">IFERROR(INDEX(Avaluacio[Codi ítem],(MATCH(0,INDEX(COUNTIF($A$108:A126,Avaluacio[Codi ítem]),0,0)+INDEX(Avaluacio[Avaluable]="No",0,0),0))),"")</f>
        <v>XGO020</v>
      </c>
      <c r="B127" s="61" t="str">
        <f t="array" ref="B127">IFERROR(VLOOKUP(A127,Avaluacio[#Data],COLUMN(Avaluacio[Ítem]),FALSE),"")</f>
        <v>Alts càrrecs, personal directiu i càrrecs eventuals</v>
      </c>
      <c r="C127" s="61"/>
      <c r="D127" s="61"/>
      <c r="E127" s="61"/>
      <c r="F127" s="28" t="str">
        <f t="array" ref="F127">IFERROR(VLOOKUP(A127,Avaluacio[],COLUMN(Avaluacio[Contingut]),FALSE),"")</f>
        <v>Sí</v>
      </c>
      <c r="G127" s="28" t="str">
        <f t="array" ref="G127">IFERROR(VLOOKUP(A127,Avaluacio[],COLUMN(Avaluacio[Actualització]),FALSE),"")</f>
        <v>Sí</v>
      </c>
      <c r="H127" s="28" t="str">
        <f t="array" ref="H127">IFERROR(VLOOKUP(A127,Avaluacio[#Data],COLUMN(Avaluacio[Grau de compliment]),FALSE),"")</f>
        <v>Compleix totalment</v>
      </c>
    </row>
    <row r="128" spans="1:8" ht="30" customHeight="1" x14ac:dyDescent="0.2">
      <c r="A128" s="28" t="str">
        <f t="array" ref="A128">IFERROR(INDEX(Avaluacio[Codi ítem],(MATCH(0,INDEX(COUNTIF($A$108:A127,Avaluacio[Codi ítem]),0,0)+INDEX(Avaluacio[Avaluable]="No",0,0),0))),"")</f>
        <v>XGO021</v>
      </c>
      <c r="B128" s="61" t="str">
        <f t="array" ref="B128">IFERROR(VLOOKUP(A128,Avaluacio[#Data],COLUMN(Avaluacio[Ítem]),FALSE),"")</f>
        <v>Resolucions relatives a les declaracions d'activitats, patrimonials i d'interessos dels alts càrrecs i del personal directiu</v>
      </c>
      <c r="C128" s="61"/>
      <c r="D128" s="61"/>
      <c r="E128" s="61"/>
      <c r="F128" s="28" t="str">
        <f t="array" ref="F128">IFERROR(VLOOKUP(A128,Avaluacio[],COLUMN(Avaluacio[Contingut]),FALSE),"")</f>
        <v>No</v>
      </c>
      <c r="G128" s="28" t="str">
        <f t="array" ref="G128">IFERROR(VLOOKUP(A128,Avaluacio[],COLUMN(Avaluacio[Actualització]),FALSE),"")</f>
        <v>No</v>
      </c>
      <c r="H128" s="28" t="str">
        <f t="array" ref="H128">IFERROR(VLOOKUP(A128,Avaluacio[#Data],COLUMN(Avaluacio[Grau de compliment]),FALSE),"")</f>
        <v>No compleix</v>
      </c>
    </row>
    <row r="129" spans="1:8" ht="30" customHeight="1" x14ac:dyDescent="0.2">
      <c r="A129" s="28" t="str">
        <f t="array" ref="A129">IFERROR(INDEX(Avaluacio[Codi ítem],(MATCH(0,INDEX(COUNTIF($A$108:A128,Avaluacio[Codi ítem]),0,0)+INDEX(Avaluacio[Avaluable]="No",0,0),0))),"")</f>
        <v>XGO022</v>
      </c>
      <c r="B129" s="61" t="str">
        <f t="array" ref="B129">IFERROR(VLOOKUP(A129,Avaluacio[#Data],COLUMN(Avaluacio[Ítem]),FALSE),"")</f>
        <v>Resolucions sobre el règim d'incompatibilitats dels alts càrrecs i personal directiu</v>
      </c>
      <c r="C129" s="61"/>
      <c r="D129" s="61"/>
      <c r="E129" s="61"/>
      <c r="F129" s="28" t="str">
        <f t="array" ref="F129">IFERROR(VLOOKUP(A129,Avaluacio[],COLUMN(Avaluacio[Contingut]),FALSE),"")</f>
        <v>No</v>
      </c>
      <c r="G129" s="28" t="str">
        <f t="array" ref="G129">IFERROR(VLOOKUP(A129,Avaluacio[],COLUMN(Avaluacio[Actualització]),FALSE),"")</f>
        <v>No</v>
      </c>
      <c r="H129" s="28" t="str">
        <f t="array" ref="H129">IFERROR(VLOOKUP(A129,Avaluacio[#Data],COLUMN(Avaluacio[Grau de compliment]),FALSE),"")</f>
        <v>No compleix</v>
      </c>
    </row>
    <row r="130" spans="1:8" ht="30" customHeight="1" x14ac:dyDescent="0.2">
      <c r="A130" s="28" t="str">
        <f t="array" ref="A130">IFERROR(INDEX(Avaluacio[Codi ítem],(MATCH(0,INDEX(COUNTIF($A$108:A129,Avaluacio[Codi ítem]),0,0)+INDEX(Avaluacio[Avaluable]="No",0,0),0))),"")</f>
        <v>XGO023</v>
      </c>
      <c r="B130" s="61" t="str">
        <f t="array" ref="B130">IFERROR(VLOOKUP(A130,Avaluacio[#Data],COLUMN(Avaluacio[Ítem]),FALSE),"")</f>
        <v>Plantilla d'empleats públics</v>
      </c>
      <c r="C130" s="61"/>
      <c r="D130" s="61"/>
      <c r="E130" s="61"/>
      <c r="F130" s="28" t="str">
        <f t="array" ref="F130">IFERROR(VLOOKUP(A130,Avaluacio[],COLUMN(Avaluacio[Contingut]),FALSE),"")</f>
        <v>Sí</v>
      </c>
      <c r="G130" s="28" t="str">
        <f t="array" ref="G130">IFERROR(VLOOKUP(A130,Avaluacio[],COLUMN(Avaluacio[Actualització]),FALSE),"")</f>
        <v>Sí</v>
      </c>
      <c r="H130" s="28" t="str">
        <f t="array" ref="H130">IFERROR(VLOOKUP(A130,Avaluacio[#Data],COLUMN(Avaluacio[Grau de compliment]),FALSE),"")</f>
        <v>Compleix totalment</v>
      </c>
    </row>
    <row r="131" spans="1:8" ht="30" customHeight="1" x14ac:dyDescent="0.2">
      <c r="A131" s="28" t="str">
        <f t="array" ref="A131">IFERROR(INDEX(Avaluacio[Codi ítem],(MATCH(0,INDEX(COUNTIF($A$108:A130,Avaluacio[Codi ítem]),0,0)+INDEX(Avaluacio[Avaluable]="No",0,0),0))),"")</f>
        <v>XGO024</v>
      </c>
      <c r="B131" s="61" t="str">
        <f t="array" ref="B131">IFERROR(VLOOKUP(A131,Avaluacio[#Data],COLUMN(Avaluacio[Ítem]),FALSE),"")</f>
        <v>Relació de llocs de treball (RLT)</v>
      </c>
      <c r="C131" s="61"/>
      <c r="D131" s="61"/>
      <c r="E131" s="61"/>
      <c r="F131" s="28" t="str">
        <f t="array" ref="F131">IFERROR(VLOOKUP(A131,Avaluacio[],COLUMN(Avaluacio[Contingut]),FALSE),"")</f>
        <v>Sí</v>
      </c>
      <c r="G131" s="28" t="str">
        <f t="array" ref="G131">IFERROR(VLOOKUP(A131,Avaluacio[],COLUMN(Avaluacio[Actualització]),FALSE),"")</f>
        <v>Sí</v>
      </c>
      <c r="H131" s="28" t="str">
        <f t="array" ref="H131">IFERROR(VLOOKUP(A131,Avaluacio[#Data],COLUMN(Avaluacio[Grau de compliment]),FALSE),"")</f>
        <v>Compleix totalment</v>
      </c>
    </row>
    <row r="132" spans="1:8" ht="30" customHeight="1" x14ac:dyDescent="0.2">
      <c r="A132" s="28" t="str">
        <f t="array" ref="A132">IFERROR(INDEX(Avaluacio[Codi ítem],(MATCH(0,INDEX(COUNTIF($A$108:A131,Avaluacio[Codi ítem]),0,0)+INDEX(Avaluacio[Avaluable]="No",0,0),0))),"")</f>
        <v>XGO025</v>
      </c>
      <c r="B132" s="61" t="str">
        <f t="array" ref="B132">IFERROR(VLOOKUP(A132,Avaluacio[#Data],COLUMN(Avaluacio[Ítem]),FALSE),"")</f>
        <v>Tècnics de l'ens</v>
      </c>
      <c r="C132" s="61"/>
      <c r="D132" s="61"/>
      <c r="E132" s="61"/>
      <c r="F132" s="28" t="str">
        <f t="array" ref="F132">IFERROR(VLOOKUP(A132,Avaluacio[],COLUMN(Avaluacio[Contingut]),FALSE),"")</f>
        <v>Sí</v>
      </c>
      <c r="G132" s="28" t="str">
        <f t="array" ref="G132">IFERROR(VLOOKUP(A132,Avaluacio[],COLUMN(Avaluacio[Actualització]),FALSE),"")</f>
        <v>Sí</v>
      </c>
      <c r="H132" s="28" t="str">
        <f t="array" ref="H132">IFERROR(VLOOKUP(A132,Avaluacio[#Data],COLUMN(Avaluacio[Grau de compliment]),FALSE),"")</f>
        <v>Compleix totalment</v>
      </c>
    </row>
    <row r="133" spans="1:8" ht="30" customHeight="1" x14ac:dyDescent="0.2">
      <c r="A133" s="28" t="str">
        <f t="array" ref="A133">IFERROR(INDEX(Avaluacio[Codi ítem],(MATCH(0,INDEX(COUNTIF($A$108:A132,Avaluacio[Codi ítem]),0,0)+INDEX(Avaluacio[Avaluable]="No",0,0),0))),"")</f>
        <v>XGO026</v>
      </c>
      <c r="B133" s="61" t="str">
        <f t="array" ref="B133">IFERROR(VLOOKUP(A133,Avaluacio[#Data],COLUMN(Avaluacio[Ítem]),FALSE),"")</f>
        <v>Responsable de comunicació/premsa</v>
      </c>
      <c r="C133" s="61"/>
      <c r="D133" s="61"/>
      <c r="E133" s="61"/>
      <c r="F133" s="28" t="str">
        <f t="array" ref="F133">IFERROR(VLOOKUP(A133,Avaluacio[],COLUMN(Avaluacio[Contingut]),FALSE),"")</f>
        <v>Sí</v>
      </c>
      <c r="G133" s="28" t="str">
        <f t="array" ref="G133">IFERROR(VLOOKUP(A133,Avaluacio[],COLUMN(Avaluacio[Actualització]),FALSE),"")</f>
        <v>Sí</v>
      </c>
      <c r="H133" s="28" t="str">
        <f t="array" ref="H133">IFERROR(VLOOKUP(A133,Avaluacio[#Data],COLUMN(Avaluacio[Grau de compliment]),FALSE),"")</f>
        <v>Compleix totalment</v>
      </c>
    </row>
    <row r="134" spans="1:8" ht="30" customHeight="1" x14ac:dyDescent="0.2">
      <c r="A134" s="28" t="str">
        <f t="array" ref="A134">IFERROR(INDEX(Avaluacio[Codi ítem],(MATCH(0,INDEX(COUNTIF($A$108:A133,Avaluacio[Codi ítem]),0,0)+INDEX(Avaluacio[Avaluable]="No",0,0),0))),"")</f>
        <v>XGO027</v>
      </c>
      <c r="B134" s="61" t="str">
        <f t="array" ref="B134">IFERROR(VLOOKUP(A134,Avaluacio[#Data],COLUMN(Avaluacio[Ítem]),FALSE),"")</f>
        <v>Relació de contractes temporals i d'interinatge</v>
      </c>
      <c r="C134" s="61"/>
      <c r="D134" s="61"/>
      <c r="E134" s="61"/>
      <c r="F134" s="28" t="str">
        <f t="array" ref="F134">IFERROR(VLOOKUP(A134,Avaluacio[],COLUMN(Avaluacio[Contingut]),FALSE),"")</f>
        <v>Sí</v>
      </c>
      <c r="G134" s="28" t="str">
        <f t="array" ref="G134">IFERROR(VLOOKUP(A134,Avaluacio[],COLUMN(Avaluacio[Actualització]),FALSE),"")</f>
        <v>Sí</v>
      </c>
      <c r="H134" s="28" t="str">
        <f t="array" ref="H134">IFERROR(VLOOKUP(A134,Avaluacio[#Data],COLUMN(Avaluacio[Grau de compliment]),FALSE),"")</f>
        <v>Compleix totalment</v>
      </c>
    </row>
    <row r="135" spans="1:8" ht="30" customHeight="1" x14ac:dyDescent="0.2">
      <c r="A135" s="28" t="str">
        <f t="array" ref="A135">IFERROR(INDEX(Avaluacio[Codi ítem],(MATCH(0,INDEX(COUNTIF($A$108:A134,Avaluacio[Codi ítem]),0,0)+INDEX(Avaluacio[Avaluable]="No",0,0),0))),"")</f>
        <v>XGO028</v>
      </c>
      <c r="B135" s="61" t="str">
        <f t="array" ref="B135">IFERROR(VLOOKUP(A135,Avaluacio[#Data],COLUMN(Avaluacio[Ítem]),FALSE),"")</f>
        <v>Retribucions, indemnitzacions i dietes dels empleats públics</v>
      </c>
      <c r="C135" s="61"/>
      <c r="D135" s="61"/>
      <c r="E135" s="61"/>
      <c r="F135" s="28" t="str">
        <f t="array" ref="F135">IFERROR(VLOOKUP(A135,Avaluacio[],COLUMN(Avaluacio[Contingut]),FALSE),"")</f>
        <v>No</v>
      </c>
      <c r="G135" s="28" t="str">
        <f t="array" ref="G135">IFERROR(VLOOKUP(A135,Avaluacio[],COLUMN(Avaluacio[Actualització]),FALSE),"")</f>
        <v>No</v>
      </c>
      <c r="H135" s="28" t="str">
        <f t="array" ref="H135">IFERROR(VLOOKUP(A135,Avaluacio[#Data],COLUMN(Avaluacio[Grau de compliment]),FALSE),"")</f>
        <v>No compleix</v>
      </c>
    </row>
    <row r="136" spans="1:8" ht="30" customHeight="1" x14ac:dyDescent="0.2">
      <c r="A136" s="28" t="str">
        <f t="array" ref="A136">IFERROR(INDEX(Avaluacio[Codi ítem],(MATCH(0,INDEX(COUNTIF($A$108:A135,Avaluacio[Codi ítem]),0,0)+INDEX(Avaluacio[Avaluable]="No",0,0),0))),"")</f>
        <v>XGO029</v>
      </c>
      <c r="B136" s="61" t="str">
        <f t="array" ref="B136">IFERROR(VLOOKUP(A136,Avaluacio[#Data],COLUMN(Avaluacio[Ítem]),FALSE),"")</f>
        <v>Convocatòries de personal</v>
      </c>
      <c r="C136" s="61"/>
      <c r="D136" s="61"/>
      <c r="E136" s="61"/>
      <c r="F136" s="28" t="str">
        <f t="array" ref="F136">IFERROR(VLOOKUP(A136,Avaluacio[],COLUMN(Avaluacio[Contingut]),FALSE),"")</f>
        <v>Sí</v>
      </c>
      <c r="G136" s="28" t="str">
        <f t="array" ref="G136">IFERROR(VLOOKUP(A136,Avaluacio[],COLUMN(Avaluacio[Actualització]),FALSE),"")</f>
        <v>Sí</v>
      </c>
      <c r="H136" s="28" t="str">
        <f t="array" ref="H136">IFERROR(VLOOKUP(A136,Avaluacio[#Data],COLUMN(Avaluacio[Grau de compliment]),FALSE),"")</f>
        <v>Compleix totalment</v>
      </c>
    </row>
    <row r="137" spans="1:8" ht="30" customHeight="1" x14ac:dyDescent="0.2">
      <c r="A137" s="28" t="str">
        <f t="array" ref="A137">IFERROR(INDEX(Avaluacio[Codi ítem],(MATCH(0,INDEX(COUNTIF($A$108:A136,Avaluacio[Codi ítem]),0,0)+INDEX(Avaluacio[Avaluable]="No",0,0),0))),"")</f>
        <v>XGO030</v>
      </c>
      <c r="B137" s="61" t="str">
        <f t="array" ref="B137">IFERROR(VLOOKUP(A137,Avaluacio[#Data],COLUMN(Avaluacio[Ítem]),FALSE),"")</f>
        <v>Resultats de les convocatòries de personal</v>
      </c>
      <c r="C137" s="61"/>
      <c r="D137" s="61"/>
      <c r="E137" s="61"/>
      <c r="F137" s="28" t="str">
        <f t="array" ref="F137">IFERROR(VLOOKUP(A137,Avaluacio[],COLUMN(Avaluacio[Contingut]),FALSE),"")</f>
        <v>Sí</v>
      </c>
      <c r="G137" s="28" t="str">
        <f t="array" ref="G137">IFERROR(VLOOKUP(A137,Avaluacio[],COLUMN(Avaluacio[Actualització]),FALSE),"")</f>
        <v>Sí</v>
      </c>
      <c r="H137" s="28" t="str">
        <f t="array" ref="H137">IFERROR(VLOOKUP(A137,Avaluacio[#Data],COLUMN(Avaluacio[Grau de compliment]),FALSE),"")</f>
        <v>Compleix totalment</v>
      </c>
    </row>
    <row r="138" spans="1:8" ht="30" customHeight="1" x14ac:dyDescent="0.2">
      <c r="A138" s="28" t="str">
        <f t="array" ref="A138">IFERROR(INDEX(Avaluacio[Codi ítem],(MATCH(0,INDEX(COUNTIF($A$108:A137,Avaluacio[Codi ítem]),0,0)+INDEX(Avaluacio[Avaluable]="No",0,0),0))),"")</f>
        <v>XGO031</v>
      </c>
      <c r="B138" s="61" t="str">
        <f t="array" ref="B138">IFERROR(VLOOKUP(A138,Avaluacio[#Data],COLUMN(Avaluacio[Ítem]),FALSE),"")</f>
        <v>Llistes de personal per cada procés de formació i/o promoció</v>
      </c>
      <c r="C138" s="61"/>
      <c r="D138" s="61"/>
      <c r="E138" s="61"/>
      <c r="F138" s="28" t="str">
        <f t="array" ref="F138">IFERROR(VLOOKUP(A138,Avaluacio[],COLUMN(Avaluacio[Contingut]),FALSE),"")</f>
        <v>No</v>
      </c>
      <c r="G138" s="28" t="str">
        <f t="array" ref="G138">IFERROR(VLOOKUP(A138,Avaluacio[],COLUMN(Avaluacio[Actualització]),FALSE),"")</f>
        <v>No</v>
      </c>
      <c r="H138" s="28" t="str">
        <f t="array" ref="H138">IFERROR(VLOOKUP(A138,Avaluacio[#Data],COLUMN(Avaluacio[Grau de compliment]),FALSE),"")</f>
        <v>No compleix</v>
      </c>
    </row>
    <row r="139" spans="1:8" ht="30" customHeight="1" x14ac:dyDescent="0.2">
      <c r="A139" s="28" t="str">
        <f t="array" ref="A139">IFERROR(INDEX(Avaluacio[Codi ítem],(MATCH(0,INDEX(COUNTIF($A$108:A138,Avaluacio[Codi ítem]),0,0)+INDEX(Avaluacio[Avaluable]="No",0,0),0))),"")</f>
        <v>XGO032</v>
      </c>
      <c r="B139" s="61" t="str">
        <f t="array" ref="B139">IFERROR(VLOOKUP(A139,Avaluacio[#Data],COLUMN(Avaluacio[Ítem]),FALSE),"")</f>
        <v>Convenis, acords, pactes de caràcter funcionarial, laboral o sindical</v>
      </c>
      <c r="C139" s="61"/>
      <c r="D139" s="61"/>
      <c r="E139" s="61"/>
      <c r="F139" s="28" t="str">
        <f t="array" ref="F139">IFERROR(VLOOKUP(A139,Avaluacio[],COLUMN(Avaluacio[Contingut]),FALSE),"")</f>
        <v>No</v>
      </c>
      <c r="G139" s="28" t="str">
        <f t="array" ref="G139">IFERROR(VLOOKUP(A139,Avaluacio[],COLUMN(Avaluacio[Actualització]),FALSE),"")</f>
        <v>No</v>
      </c>
      <c r="H139" s="28" t="str">
        <f t="array" ref="H139">IFERROR(VLOOKUP(A139,Avaluacio[#Data],COLUMN(Avaluacio[Grau de compliment]),FALSE),"")</f>
        <v>No compleix</v>
      </c>
    </row>
    <row r="140" spans="1:8" ht="30" customHeight="1" x14ac:dyDescent="0.2">
      <c r="A140" s="28" t="str">
        <f t="array" ref="A140">IFERROR(INDEX(Avaluacio[Codi ítem],(MATCH(0,INDEX(COUNTIF($A$108:A139,Avaluacio[Codi ítem]),0,0)+INDEX(Avaluacio[Avaluable]="No",0,0),0))),"")</f>
        <v>XGO033</v>
      </c>
      <c r="B140" s="61" t="str">
        <f t="array" ref="B140">IFERROR(VLOOKUP(A140,Avaluacio[#Data],COLUMN(Avaluacio[Ítem]),FALSE),"")</f>
        <v>Alliberats sindicals</v>
      </c>
      <c r="C140" s="61"/>
      <c r="D140" s="61"/>
      <c r="E140" s="61"/>
      <c r="F140" s="28" t="str">
        <f t="array" ref="F140">IFERROR(VLOOKUP(A140,Avaluacio[],COLUMN(Avaluacio[Contingut]),FALSE),"")</f>
        <v>Sí</v>
      </c>
      <c r="G140" s="28" t="str">
        <f t="array" ref="G140">IFERROR(VLOOKUP(A140,Avaluacio[],COLUMN(Avaluacio[Actualització]),FALSE),"")</f>
        <v>Sí</v>
      </c>
      <c r="H140" s="28" t="str">
        <f t="array" ref="H140">IFERROR(VLOOKUP(A140,Avaluacio[#Data],COLUMN(Avaluacio[Grau de compliment]),FALSE),"")</f>
        <v>Compleix totalment</v>
      </c>
    </row>
    <row r="141" spans="1:8" ht="30" customHeight="1" x14ac:dyDescent="0.2">
      <c r="A141" s="28" t="str">
        <f t="array" ref="A141">IFERROR(INDEX(Avaluacio[Codi ítem],(MATCH(0,INDEX(COUNTIF($A$108:A140,Avaluacio[Codi ítem]),0,0)+INDEX(Avaluacio[Avaluable]="No",0,0),0))),"")</f>
        <v>XGO034</v>
      </c>
      <c r="B141" s="61" t="str">
        <f t="array" ref="B141">IFERROR(VLOOKUP(A141,Avaluacio[#Data],COLUMN(Avaluacio[Ítem]),FALSE),"")</f>
        <v>Resolucions sobre el règim d'incompatibilitats dels empleats públics</v>
      </c>
      <c r="C141" s="61"/>
      <c r="D141" s="61"/>
      <c r="E141" s="61"/>
      <c r="F141" s="28" t="str">
        <f t="array" ref="F141">IFERROR(VLOOKUP(A141,Avaluacio[],COLUMN(Avaluacio[Contingut]),FALSE),"")</f>
        <v>No</v>
      </c>
      <c r="G141" s="28" t="str">
        <f t="array" ref="G141">IFERROR(VLOOKUP(A141,Avaluacio[],COLUMN(Avaluacio[Actualització]),FALSE),"")</f>
        <v>No</v>
      </c>
      <c r="H141" s="28" t="str">
        <f t="array" ref="H141">IFERROR(VLOOKUP(A141,Avaluacio[#Data],COLUMN(Avaluacio[Grau de compliment]),FALSE),"")</f>
        <v>No compleix</v>
      </c>
    </row>
    <row r="142" spans="1:8" ht="30" customHeight="1" x14ac:dyDescent="0.2">
      <c r="A142" s="28" t="str">
        <f t="array" ref="A142">IFERROR(INDEX(Avaluacio[Codi ítem],(MATCH(0,INDEX(COUNTIF($A$108:A141,Avaluacio[Codi ítem]),0,0)+INDEX(Avaluacio[Avaluable]="No",0,0),0))),"")</f>
        <v>XGO035</v>
      </c>
      <c r="B142" s="61" t="str">
        <f t="array" ref="B142">IFERROR(VLOOKUP(A142,Avaluacio[#Data],COLUMN(Avaluacio[Ítem]),FALSE),"")</f>
        <v>Delegat/da de Protecció de Dades</v>
      </c>
      <c r="C142" s="61"/>
      <c r="D142" s="61"/>
      <c r="E142" s="61"/>
      <c r="F142" s="28" t="str">
        <f t="array" ref="F142">IFERROR(VLOOKUP(A142,Avaluacio[],COLUMN(Avaluacio[Contingut]),FALSE),"")</f>
        <v>Sí</v>
      </c>
      <c r="G142" s="28" t="str">
        <f t="array" ref="G142">IFERROR(VLOOKUP(A142,Avaluacio[],COLUMN(Avaluacio[Actualització]),FALSE),"")</f>
        <v>Sí</v>
      </c>
      <c r="H142" s="28" t="str">
        <f t="array" ref="H142">IFERROR(VLOOKUP(A142,Avaluacio[#Data],COLUMN(Avaluacio[Grau de compliment]),FALSE),"")</f>
        <v>Compleix totalment</v>
      </c>
    </row>
    <row r="143" spans="1:8" ht="30" customHeight="1" x14ac:dyDescent="0.2">
      <c r="A143" s="28" t="str">
        <f t="array" ref="A143">IFERROR(INDEX(Avaluacio[Codi ítem],(MATCH(0,INDEX(COUNTIF($A$108:A142,Avaluacio[Codi ítem]),0,0)+INDEX(Avaluacio[Avaluable]="No",0,0),0))),"")</f>
        <v>XGO036</v>
      </c>
      <c r="B143" s="61" t="str">
        <f t="array" ref="B143">IFERROR(VLOOKUP(A143,Avaluacio[#Data],COLUMN(Avaluacio[Ítem]),FALSE),"")</f>
        <v>Exercici dels drets relatius a la protecció de dades personals</v>
      </c>
      <c r="C143" s="61"/>
      <c r="D143" s="61"/>
      <c r="E143" s="61"/>
      <c r="F143" s="28" t="str">
        <f t="array" ref="F143">IFERROR(VLOOKUP(A143,Avaluacio[],COLUMN(Avaluacio[Contingut]),FALSE),"")</f>
        <v>Sí</v>
      </c>
      <c r="G143" s="28" t="str">
        <f t="array" ref="G143">IFERROR(VLOOKUP(A143,Avaluacio[],COLUMN(Avaluacio[Actualització]),FALSE),"")</f>
        <v>Sí</v>
      </c>
      <c r="H143" s="28" t="str">
        <f t="array" ref="H143">IFERROR(VLOOKUP(A143,Avaluacio[#Data],COLUMN(Avaluacio[Grau de compliment]),FALSE),"")</f>
        <v>Compleix totalment</v>
      </c>
    </row>
    <row r="144" spans="1:8" ht="30" customHeight="1" x14ac:dyDescent="0.2">
      <c r="A144" s="28" t="str">
        <f t="array" ref="A144">IFERROR(INDEX(Avaluacio[Codi ítem],(MATCH(0,INDEX(COUNTIF($A$108:A143,Avaluacio[Codi ítem]),0,0)+INDEX(Avaluacio[Avaluable]="No",0,0),0))),"")</f>
        <v>XGO037</v>
      </c>
      <c r="B144" s="61" t="str">
        <f t="array" ref="B144">IFERROR(VLOOKUP(A144,Avaluacio[#Data],COLUMN(Avaluacio[Ítem]),FALSE),"")</f>
        <v>Registre de les activitats de tractament de dades personals</v>
      </c>
      <c r="C144" s="61"/>
      <c r="D144" s="61"/>
      <c r="E144" s="61"/>
      <c r="F144" s="28" t="str">
        <f t="array" ref="F144">IFERROR(VLOOKUP(A144,Avaluacio[],COLUMN(Avaluacio[Contingut]),FALSE),"")</f>
        <v>Sí</v>
      </c>
      <c r="G144" s="28" t="str">
        <f t="array" ref="G144">IFERROR(VLOOKUP(A144,Avaluacio[],COLUMN(Avaluacio[Actualització]),FALSE),"")</f>
        <v>Sí</v>
      </c>
      <c r="H144" s="28" t="str">
        <f t="array" ref="H144">IFERROR(VLOOKUP(A144,Avaluacio[#Data],COLUMN(Avaluacio[Grau de compliment]),FALSE),"")</f>
        <v>Compleix totalment</v>
      </c>
    </row>
    <row r="145" spans="1:8" ht="30" customHeight="1" x14ac:dyDescent="0.2">
      <c r="A145" s="28" t="str">
        <f t="array" ref="A145">IFERROR(INDEX(Avaluacio[Codi ítem],(MATCH(0,INDEX(COUNTIF($A$108:A144,Avaluacio[Codi ítem]),0,0)+INDEX(Avaluacio[Avaluable]="No",0,0),0))),"")</f>
        <v>XGO038</v>
      </c>
      <c r="B145" s="61" t="str">
        <f t="array" ref="B145">IFERROR(VLOOKUP(A145,Avaluacio[#Data],COLUMN(Avaluacio[Ítem]),FALSE),"")</f>
        <v>Sistema d'Integritat Institucional</v>
      </c>
      <c r="C145" s="61"/>
      <c r="D145" s="61"/>
      <c r="E145" s="61"/>
      <c r="F145" s="28" t="str">
        <f t="array" ref="F145">IFERROR(VLOOKUP(A145,Avaluacio[],COLUMN(Avaluacio[Contingut]),FALSE),"")</f>
        <v>Sí</v>
      </c>
      <c r="G145" s="28" t="str">
        <f t="array" ref="G145">IFERROR(VLOOKUP(A145,Avaluacio[],COLUMN(Avaluacio[Actualització]),FALSE),"")</f>
        <v>Sí</v>
      </c>
      <c r="H145" s="28" t="str">
        <f t="array" ref="H145">IFERROR(VLOOKUP(A145,Avaluacio[#Data],COLUMN(Avaluacio[Grau de compliment]),FALSE),"")</f>
        <v>Compleix totalment</v>
      </c>
    </row>
    <row r="146" spans="1:8" ht="30" customHeight="1" x14ac:dyDescent="0.2">
      <c r="A146" s="28" t="str">
        <f t="array" ref="A146">IFERROR(INDEX(Avaluacio[Codi ítem],(MATCH(0,INDEX(COUNTIF($A$108:A145,Avaluacio[Codi ítem]),0,0)+INDEX(Avaluacio[Avaluable]="No",0,0),0))),"")</f>
        <v>XGO039</v>
      </c>
      <c r="B146" s="61" t="str">
        <f t="array" ref="B146">IFERROR(VLOOKUP(A146,Avaluacio[#Data],COLUMN(Avaluacio[Ítem]),FALSE),"")</f>
        <v>Pla de mesures antifrau</v>
      </c>
      <c r="C146" s="61"/>
      <c r="D146" s="61"/>
      <c r="E146" s="61"/>
      <c r="F146" s="28" t="str">
        <f t="array" ref="F146">IFERROR(VLOOKUP(A146,Avaluacio[],COLUMN(Avaluacio[Contingut]),FALSE),"")</f>
        <v>Sí</v>
      </c>
      <c r="G146" s="28" t="str">
        <f t="array" ref="G146">IFERROR(VLOOKUP(A146,Avaluacio[],COLUMN(Avaluacio[Actualització]),FALSE),"")</f>
        <v>Sí</v>
      </c>
      <c r="H146" s="28" t="str">
        <f t="array" ref="H146">IFERROR(VLOOKUP(A146,Avaluacio[#Data],COLUMN(Avaluacio[Grau de compliment]),FALSE),"")</f>
        <v>Compleix totalment</v>
      </c>
    </row>
    <row r="147" spans="1:8" ht="30" customHeight="1" x14ac:dyDescent="0.2">
      <c r="A147" s="28" t="str">
        <f t="array" ref="A147">IFERROR(INDEX(Avaluacio[Codi ítem],(MATCH(0,INDEX(COUNTIF($A$108:A146,Avaluacio[Codi ítem]),0,0)+INDEX(Avaluacio[Avaluable]="No",0,0),0))),"")</f>
        <v>XGO040</v>
      </c>
      <c r="B147" s="61" t="str">
        <f t="array" ref="B147">IFERROR(VLOOKUP(A147,Avaluacio[#Data],COLUMN(Avaluacio[Ítem]),FALSE),"")</f>
        <v>Declaració institucional d’impuls de la política d’integritat i de lluita contra el frau</v>
      </c>
      <c r="C147" s="61"/>
      <c r="D147" s="61"/>
      <c r="E147" s="61"/>
      <c r="F147" s="28" t="str">
        <f t="array" ref="F147">IFERROR(VLOOKUP(A147,Avaluacio[],COLUMN(Avaluacio[Contingut]),FALSE),"")</f>
        <v>Sí</v>
      </c>
      <c r="G147" s="28" t="str">
        <f t="array" ref="G147">IFERROR(VLOOKUP(A147,Avaluacio[],COLUMN(Avaluacio[Actualització]),FALSE),"")</f>
        <v>Sí</v>
      </c>
      <c r="H147" s="28" t="str">
        <f t="array" ref="H147">IFERROR(VLOOKUP(A147,Avaluacio[#Data],COLUMN(Avaluacio[Grau de compliment]),FALSE),"")</f>
        <v>Compleix totalment</v>
      </c>
    </row>
    <row r="148" spans="1:8" ht="30" customHeight="1" x14ac:dyDescent="0.2">
      <c r="A148" s="28" t="str">
        <f t="array" ref="A148">IFERROR(INDEX(Avaluacio[Codi ítem],(MATCH(0,INDEX(COUNTIF($A$108:A147,Avaluacio[Codi ítem]),0,0)+INDEX(Avaluacio[Avaluable]="No",0,0),0))),"")</f>
        <v>XGO041</v>
      </c>
      <c r="B148" s="61" t="str">
        <f t="array" ref="B148">IFERROR(VLOOKUP(A148,Avaluacio[#Data],COLUMN(Avaluacio[Ítem]),FALSE),"")</f>
        <v>Canals d’alertes i sistema intern d’alertes (SIA)</v>
      </c>
      <c r="C148" s="61"/>
      <c r="D148" s="61"/>
      <c r="E148" s="61"/>
      <c r="F148" s="28" t="str">
        <f t="array" ref="F148">IFERROR(VLOOKUP(A148,Avaluacio[],COLUMN(Avaluacio[Contingut]),FALSE),"")</f>
        <v>Sí</v>
      </c>
      <c r="G148" s="28" t="str">
        <f t="array" ref="G148">IFERROR(VLOOKUP(A148,Avaluacio[],COLUMN(Avaluacio[Actualització]),FALSE),"")</f>
        <v>Sí</v>
      </c>
      <c r="H148" s="28" t="str">
        <f t="array" ref="H148">IFERROR(VLOOKUP(A148,Avaluacio[#Data],COLUMN(Avaluacio[Grau de compliment]),FALSE),"")</f>
        <v>Compleix totalment</v>
      </c>
    </row>
    <row r="149" spans="1:8" ht="30" customHeight="1" x14ac:dyDescent="0.2">
      <c r="A149" s="28" t="str">
        <f t="array" ref="A149">IFERROR(INDEX(Avaluacio[Codi ítem],(MATCH(0,INDEX(COUNTIF($A$108:A148,Avaluacio[Codi ítem]),0,0)+INDEX(Avaluacio[Avaluable]="No",0,0),0))),"")</f>
        <v>XGO042</v>
      </c>
      <c r="B149" s="61" t="str">
        <f t="array" ref="B149">IFERROR(VLOOKUP(A149,Avaluacio[#Data],COLUMN(Avaluacio[Ítem]),FALSE),"")</f>
        <v>Registre de grups d'interès</v>
      </c>
      <c r="C149" s="61"/>
      <c r="D149" s="61"/>
      <c r="E149" s="61"/>
      <c r="F149" s="28" t="str">
        <f t="array" ref="F149">IFERROR(VLOOKUP(A149,Avaluacio[],COLUMN(Avaluacio[Contingut]),FALSE),"")</f>
        <v>Sí</v>
      </c>
      <c r="G149" s="28" t="str">
        <f t="array" ref="G149">IFERROR(VLOOKUP(A149,Avaluacio[],COLUMN(Avaluacio[Actualització]),FALSE),"")</f>
        <v>Sí</v>
      </c>
      <c r="H149" s="28" t="str">
        <f t="array" ref="H149">IFERROR(VLOOKUP(A149,Avaluacio[#Data],COLUMN(Avaluacio[Grau de compliment]),FALSE),"")</f>
        <v>Compleix totalment</v>
      </c>
    </row>
    <row r="150" spans="1:8" ht="30" customHeight="1" x14ac:dyDescent="0.2">
      <c r="A150" s="28" t="str">
        <f t="array" ref="A150">IFERROR(INDEX(Avaluacio[Codi ítem],(MATCH(0,INDEX(COUNTIF($A$108:A149,Avaluacio[Codi ítem]),0,0)+INDEX(Avaluacio[Avaluable]="No",0,0),0))),"")</f>
        <v>XGO043</v>
      </c>
      <c r="B150" s="61" t="str">
        <f t="array" ref="B150">IFERROR(VLOOKUP(A150,Avaluacio[#Data],COLUMN(Avaluacio[Ítem]),FALSE),"")</f>
        <v>Codi de conducta dels grups d'interès</v>
      </c>
      <c r="C150" s="61"/>
      <c r="D150" s="61"/>
      <c r="E150" s="61"/>
      <c r="F150" s="28" t="str">
        <f t="array" ref="F150">IFERROR(VLOOKUP(A150,Avaluacio[],COLUMN(Avaluacio[Contingut]),FALSE),"")</f>
        <v>Sí</v>
      </c>
      <c r="G150" s="28" t="str">
        <f t="array" ref="G150">IFERROR(VLOOKUP(A150,Avaluacio[],COLUMN(Avaluacio[Actualització]),FALSE),"")</f>
        <v>Sí</v>
      </c>
      <c r="H150" s="28" t="str">
        <f t="array" ref="H150">IFERROR(VLOOKUP(A150,Avaluacio[#Data],COLUMN(Avaluacio[Grau de compliment]),FALSE),"")</f>
        <v>Compleix totalment</v>
      </c>
    </row>
    <row r="151" spans="1:8" ht="30" customHeight="1" x14ac:dyDescent="0.2">
      <c r="A151" s="28" t="str">
        <f t="array" ref="A151">IFERROR(INDEX(Avaluacio[Codi ítem],(MATCH(0,INDEX(COUNTIF($A$108:A150,Avaluacio[Codi ítem]),0,0)+INDEX(Avaluacio[Avaluable]="No",0,0),0))),"")</f>
        <v>XGO044</v>
      </c>
      <c r="B151" s="61" t="str">
        <f t="array" ref="B151">IFERROR(VLOOKUP(A151,Avaluacio[#Data],COLUMN(Avaluacio[Ítem]),FALSE),"")</f>
        <v>Comissió antifrau</v>
      </c>
      <c r="C151" s="61"/>
      <c r="D151" s="61"/>
      <c r="E151" s="61"/>
      <c r="F151" s="28" t="str">
        <f t="array" ref="F151">IFERROR(VLOOKUP(A151,Avaluacio[],COLUMN(Avaluacio[Contingut]),FALSE),"")</f>
        <v>Sí</v>
      </c>
      <c r="G151" s="28" t="str">
        <f t="array" ref="G151">IFERROR(VLOOKUP(A151,Avaluacio[],COLUMN(Avaluacio[Actualització]),FALSE),"")</f>
        <v>Sí</v>
      </c>
      <c r="H151" s="28" t="str">
        <f t="array" ref="H151">IFERROR(VLOOKUP(A151,Avaluacio[#Data],COLUMN(Avaluacio[Grau de compliment]),FALSE),"")</f>
        <v>Compleix totalment</v>
      </c>
    </row>
    <row r="152" spans="1:8" ht="30" customHeight="1" x14ac:dyDescent="0.2">
      <c r="A152" s="28" t="str">
        <f t="array" ref="A152">IFERROR(INDEX(Avaluacio[Codi ítem],(MATCH(0,INDEX(COUNTIF($A$108:A151,Avaluacio[Codi ítem]),0,0)+INDEX(Avaluacio[Avaluable]="No",0,0),0))),"")</f>
        <v>XGO045</v>
      </c>
      <c r="B152" s="61" t="str">
        <f t="array" ref="B152">IFERROR(VLOOKUP(A152,Avaluacio[#Data],COLUMN(Avaluacio[Ítem]),FALSE),"")</f>
        <v>Codi de conducta dels alts càrrecs i de bon govern</v>
      </c>
      <c r="C152" s="61"/>
      <c r="D152" s="61"/>
      <c r="E152" s="61"/>
      <c r="F152" s="28" t="str">
        <f t="array" ref="F152">IFERROR(VLOOKUP(A152,Avaluacio[],COLUMN(Avaluacio[Contingut]),FALSE),"")</f>
        <v>Sí</v>
      </c>
      <c r="G152" s="28" t="str">
        <f t="array" ref="G152">IFERROR(VLOOKUP(A152,Avaluacio[],COLUMN(Avaluacio[Actualització]),FALSE),"")</f>
        <v>Sí</v>
      </c>
      <c r="H152" s="28" t="str">
        <f t="array" ref="H152">IFERROR(VLOOKUP(A152,Avaluacio[#Data],COLUMN(Avaluacio[Grau de compliment]),FALSE),"")</f>
        <v>Compleix totalment</v>
      </c>
    </row>
    <row r="153" spans="1:8" ht="30" customHeight="1" x14ac:dyDescent="0.2">
      <c r="A153" s="28" t="str">
        <f t="array" ref="A153">IFERROR(INDEX(Avaluacio[Codi ítem],(MATCH(0,INDEX(COUNTIF($A$108:A152,Avaluacio[Codi ítem]),0,0)+INDEX(Avaluacio[Avaluable]="No",0,0),0))),"")</f>
        <v>XGO046</v>
      </c>
      <c r="B153" s="61" t="str">
        <f t="array" ref="B153">IFERROR(VLOOKUP(A153,Avaluacio[#Data],COLUMN(Avaluacio[Ítem]),FALSE),"")</f>
        <v>Actes de ple</v>
      </c>
      <c r="C153" s="61"/>
      <c r="D153" s="61"/>
      <c r="E153" s="61"/>
      <c r="F153" s="28" t="str">
        <f t="array" ref="F153">IFERROR(VLOOKUP(A153,Avaluacio[],COLUMN(Avaluacio[Contingut]),FALSE),"")</f>
        <v>Sí</v>
      </c>
      <c r="G153" s="28" t="str">
        <f t="array" ref="G153">IFERROR(VLOOKUP(A153,Avaluacio[],COLUMN(Avaluacio[Actualització]),FALSE),"")</f>
        <v>Sí</v>
      </c>
      <c r="H153" s="28" t="str">
        <f t="array" ref="H153">IFERROR(VLOOKUP(A153,Avaluacio[#Data],COLUMN(Avaluacio[Grau de compliment]),FALSE),"")</f>
        <v>Compleix totalment</v>
      </c>
    </row>
    <row r="154" spans="1:8" ht="30" customHeight="1" x14ac:dyDescent="0.2">
      <c r="A154" s="28" t="str">
        <f t="array" ref="A154">IFERROR(INDEX(Avaluacio[Codi ítem],(MATCH(0,INDEX(COUNTIF($A$108:A153,Avaluacio[Codi ítem]),0,0)+INDEX(Avaluacio[Avaluable]="No",0,0),0))),"")</f>
        <v>XGO047</v>
      </c>
      <c r="B154" s="61" t="str">
        <f t="array" ref="B154">IFERROR(VLOOKUP(A154,Avaluacio[#Data],COLUMN(Avaluacio[Ítem]),FALSE),"")</f>
        <v>Acords de junta de govern</v>
      </c>
      <c r="C154" s="61"/>
      <c r="D154" s="61"/>
      <c r="E154" s="61"/>
      <c r="F154" s="28" t="str">
        <f t="array" ref="F154">IFERROR(VLOOKUP(A154,Avaluacio[],COLUMN(Avaluacio[Contingut]),FALSE),"")</f>
        <v>No</v>
      </c>
      <c r="G154" s="28" t="str">
        <f t="array" ref="G154">IFERROR(VLOOKUP(A154,Avaluacio[],COLUMN(Avaluacio[Actualització]),FALSE),"")</f>
        <v>No</v>
      </c>
      <c r="H154" s="28" t="str">
        <f t="array" ref="H154">IFERROR(VLOOKUP(A154,Avaluacio[#Data],COLUMN(Avaluacio[Grau de compliment]),FALSE),"")</f>
        <v>No compleix</v>
      </c>
    </row>
    <row r="155" spans="1:8" ht="30" customHeight="1" x14ac:dyDescent="0.2">
      <c r="A155" s="28" t="str">
        <f t="array" ref="A155">IFERROR(INDEX(Avaluacio[Codi ítem],(MATCH(0,INDEX(COUNTIF($A$108:A154,Avaluacio[Codi ítem]),0,0)+INDEX(Avaluacio[Avaluable]="No",0,0),0))),"")</f>
        <v>XGO048</v>
      </c>
      <c r="B155" s="61" t="str">
        <f t="array" ref="B155">IFERROR(VLOOKUP(A155,Avaluacio[#Data],COLUMN(Avaluacio[Ítem]),FALSE),"")</f>
        <v>Acords d'òrgans de govern</v>
      </c>
      <c r="C155" s="61"/>
      <c r="D155" s="61"/>
      <c r="E155" s="61"/>
      <c r="F155" s="28" t="str">
        <f t="array" ref="F155">IFERROR(VLOOKUP(A155,Avaluacio[],COLUMN(Avaluacio[Contingut]),FALSE),"")</f>
        <v>Sí</v>
      </c>
      <c r="G155" s="28" t="str">
        <f t="array" ref="G155">IFERROR(VLOOKUP(A155,Avaluacio[],COLUMN(Avaluacio[Actualització]),FALSE),"")</f>
        <v>Sí</v>
      </c>
      <c r="H155" s="28" t="str">
        <f t="array" ref="H155">IFERROR(VLOOKUP(A155,Avaluacio[#Data],COLUMN(Avaluacio[Grau de compliment]),FALSE),"")</f>
        <v>Compleix totalment</v>
      </c>
    </row>
    <row r="156" spans="1:8" ht="30" customHeight="1" x14ac:dyDescent="0.2">
      <c r="A156" s="28" t="str">
        <f t="array" ref="A156">IFERROR(INDEX(Avaluacio[Codi ítem],(MATCH(0,INDEX(COUNTIF($A$108:A155,Avaluacio[Codi ítem]),0,0)+INDEX(Avaluacio[Avaluable]="No",0,0),0))),"")</f>
        <v>XGO049</v>
      </c>
      <c r="B156" s="61" t="str">
        <f t="array" ref="B156">IFERROR(VLOOKUP(A156,Avaluacio[#Data],COLUMN(Avaluacio[Ítem]),FALSE),"")</f>
        <v>Resolucions i decrets</v>
      </c>
      <c r="C156" s="61"/>
      <c r="D156" s="61"/>
      <c r="E156" s="61"/>
      <c r="F156" s="28" t="str">
        <f t="array" ref="F156">IFERROR(VLOOKUP(A156,Avaluacio[],COLUMN(Avaluacio[Contingut]),FALSE),"")</f>
        <v>Sí</v>
      </c>
      <c r="G156" s="28" t="str">
        <f t="array" ref="G156">IFERROR(VLOOKUP(A156,Avaluacio[],COLUMN(Avaluacio[Actualització]),FALSE),"")</f>
        <v>Sí</v>
      </c>
      <c r="H156" s="28" t="str">
        <f t="array" ref="H156">IFERROR(VLOOKUP(A156,Avaluacio[#Data],COLUMN(Avaluacio[Grau de compliment]),FALSE),"")</f>
        <v>Compleix totalment</v>
      </c>
    </row>
    <row r="157" spans="1:8" ht="30" customHeight="1" x14ac:dyDescent="0.2">
      <c r="A157" s="28" t="str">
        <f t="array" ref="A157">IFERROR(INDEX(Avaluacio[Codi ítem],(MATCH(0,INDEX(COUNTIF($A$108:A156,Avaluacio[Codi ítem]),0,0)+INDEX(Avaluacio[Avaluable]="No",0,0),0))),"")</f>
        <v>XGO050</v>
      </c>
      <c r="B157" s="61" t="str">
        <f t="array" ref="B157">IFERROR(VLOOKUP(A157,Avaluacio[#Data],COLUMN(Avaluacio[Ítem]),FALSE),"")</f>
        <v>Tauler d'edictes i anuncis</v>
      </c>
      <c r="C157" s="61"/>
      <c r="D157" s="61"/>
      <c r="E157" s="61"/>
      <c r="F157" s="28" t="str">
        <f t="array" ref="F157">IFERROR(VLOOKUP(A157,Avaluacio[],COLUMN(Avaluacio[Contingut]),FALSE),"")</f>
        <v>Sí</v>
      </c>
      <c r="G157" s="28" t="str">
        <f t="array" ref="G157">IFERROR(VLOOKUP(A157,Avaluacio[],COLUMN(Avaluacio[Actualització]),FALSE),"")</f>
        <v>Sí</v>
      </c>
      <c r="H157" s="28" t="str">
        <f t="array" ref="H157">IFERROR(VLOOKUP(A157,Avaluacio[#Data],COLUMN(Avaluacio[Grau de compliment]),FALSE),"")</f>
        <v>Compleix totalment</v>
      </c>
    </row>
    <row r="158" spans="1:8" ht="30" customHeight="1" x14ac:dyDescent="0.2">
      <c r="A158" s="28" t="str">
        <f t="array" ref="A158">IFERROR(INDEX(Avaluacio[Codi ítem],(MATCH(0,INDEX(COUNTIF($A$108:A157,Avaluacio[Codi ítem]),0,0)+INDEX(Avaluacio[Avaluable]="No",0,0),0))),"")</f>
        <v>XGO051</v>
      </c>
      <c r="B158" s="61" t="str">
        <f t="array" ref="B158">IFERROR(VLOOKUP(A158,Avaluacio[#Data],COLUMN(Avaluacio[Ítem]),FALSE),"")</f>
        <v>Convocatòries de sessions del ple</v>
      </c>
      <c r="C158" s="61"/>
      <c r="D158" s="61"/>
      <c r="E158" s="61"/>
      <c r="F158" s="28" t="str">
        <f t="array" ref="F158">IFERROR(VLOOKUP(A158,Avaluacio[],COLUMN(Avaluacio[Contingut]),FALSE),"")</f>
        <v>Sí</v>
      </c>
      <c r="G158" s="28" t="str">
        <f t="array" ref="G158">IFERROR(VLOOKUP(A158,Avaluacio[],COLUMN(Avaluacio[Actualització]),FALSE),"")</f>
        <v>Sí</v>
      </c>
      <c r="H158" s="28" t="str">
        <f t="array" ref="H158">IFERROR(VLOOKUP(A158,Avaluacio[#Data],COLUMN(Avaluacio[Grau de compliment]),FALSE),"")</f>
        <v>Compleix totalment</v>
      </c>
    </row>
    <row r="159" spans="1:8" ht="30" customHeight="1" x14ac:dyDescent="0.2">
      <c r="A159" s="28" t="str">
        <f t="array" ref="A159">IFERROR(INDEX(Avaluacio[Codi ítem],(MATCH(0,INDEX(COUNTIF($A$108:A158,Avaluacio[Codi ítem]),0,0)+INDEX(Avaluacio[Avaluable]="No",0,0),0))),"")</f>
        <v>XGO052</v>
      </c>
      <c r="B159" s="61" t="str">
        <f t="array" ref="B159">IFERROR(VLOOKUP(A159,Avaluacio[#Data],COLUMN(Avaluacio[Ítem]),FALSE),"")</f>
        <v>Actes administratius amb incidència al domini públic i als serveis públics</v>
      </c>
      <c r="C159" s="61"/>
      <c r="D159" s="61"/>
      <c r="E159" s="61"/>
      <c r="F159" s="28" t="str">
        <f t="array" ref="F159">IFERROR(VLOOKUP(A159,Avaluacio[],COLUMN(Avaluacio[Contingut]),FALSE),"")</f>
        <v>Sí</v>
      </c>
      <c r="G159" s="28" t="str">
        <f t="array" ref="G159">IFERROR(VLOOKUP(A159,Avaluacio[],COLUMN(Avaluacio[Actualització]),FALSE),"")</f>
        <v>Sí</v>
      </c>
      <c r="H159" s="28" t="str">
        <f t="array" ref="H159">IFERROR(VLOOKUP(A159,Avaluacio[#Data],COLUMN(Avaluacio[Grau de compliment]),FALSE),"")</f>
        <v>Compleix totalment</v>
      </c>
    </row>
    <row r="160" spans="1:8" ht="30" customHeight="1" x14ac:dyDescent="0.2">
      <c r="A160" s="28" t="str">
        <f t="array" ref="A160">IFERROR(INDEX(Avaluacio[Codi ítem],(MATCH(0,INDEX(COUNTIF($A$108:A159,Avaluacio[Codi ítem]),0,0)+INDEX(Avaluacio[Avaluable]="No",0,0),0))),"")</f>
        <v>XGO053</v>
      </c>
      <c r="B160" s="61" t="str">
        <f t="array" ref="B160">IFERROR(VLOOKUP(A160,Avaluacio[#Data],COLUMN(Avaluacio[Ítem]),FALSE),"")</f>
        <v>Actes objecte de revisió en via administrativa</v>
      </c>
      <c r="C160" s="61"/>
      <c r="D160" s="61"/>
      <c r="E160" s="61"/>
      <c r="F160" s="28" t="str">
        <f t="array" ref="F160">IFERROR(VLOOKUP(A160,Avaluacio[],COLUMN(Avaluacio[Contingut]),FALSE),"")</f>
        <v>Sí</v>
      </c>
      <c r="G160" s="28" t="str">
        <f t="array" ref="G160">IFERROR(VLOOKUP(A160,Avaluacio[],COLUMN(Avaluacio[Actualització]),FALSE),"")</f>
        <v>Sí</v>
      </c>
      <c r="H160" s="28" t="str">
        <f t="array" ref="H160">IFERROR(VLOOKUP(A160,Avaluacio[#Data],COLUMN(Avaluacio[Grau de compliment]),FALSE),"")</f>
        <v>Compleix totalment</v>
      </c>
    </row>
    <row r="161" spans="1:8" ht="30" customHeight="1" x14ac:dyDescent="0.2">
      <c r="A161" s="28" t="str">
        <f t="array" ref="A161">IFERROR(INDEX(Avaluacio[Codi ítem],(MATCH(0,INDEX(COUNTIF($A$108:A160,Avaluacio[Codi ítem]),0,0)+INDEX(Avaluacio[Avaluable]="No",0,0),0))),"")</f>
        <v>XGO054</v>
      </c>
      <c r="B161" s="61" t="str">
        <f t="array" ref="B161">IFERROR(VLOOKUP(A161,Avaluacio[#Data],COLUMN(Avaluacio[Ítem]),FALSE),"")</f>
        <v>Resolucions administratives i judicials rellevants</v>
      </c>
      <c r="C161" s="61"/>
      <c r="D161" s="61"/>
      <c r="E161" s="61"/>
      <c r="F161" s="28" t="str">
        <f t="array" ref="F161">IFERROR(VLOOKUP(A161,Avaluacio[],COLUMN(Avaluacio[Contingut]),FALSE),"")</f>
        <v>Sí</v>
      </c>
      <c r="G161" s="28" t="str">
        <f t="array" ref="G161">IFERROR(VLOOKUP(A161,Avaluacio[],COLUMN(Avaluacio[Actualització]),FALSE),"")</f>
        <v>Sí</v>
      </c>
      <c r="H161" s="28" t="str">
        <f t="array" ref="H161">IFERROR(VLOOKUP(A161,Avaluacio[#Data],COLUMN(Avaluacio[Grau de compliment]),FALSE),"")</f>
        <v>Compleix totalment</v>
      </c>
    </row>
    <row r="162" spans="1:8" ht="30" customHeight="1" x14ac:dyDescent="0.2">
      <c r="A162" s="28" t="str">
        <f t="array" ref="A162">IFERROR(INDEX(Avaluacio[Codi ítem],(MATCH(0,INDEX(COUNTIF($A$108:A161,Avaluacio[Codi ítem]),0,0)+INDEX(Avaluacio[Avaluable]="No",0,0),0))),"")</f>
        <v>XGO055</v>
      </c>
      <c r="B162" s="61" t="str">
        <f t="array" ref="B162">IFERROR(VLOOKUP(A162,Avaluacio[#Data],COLUMN(Avaluacio[Ítem]),FALSE),"")</f>
        <v>Dictàmens de la Comissió Jurídica Assessora i altres òrgans consultius</v>
      </c>
      <c r="C162" s="61"/>
      <c r="D162" s="61"/>
      <c r="E162" s="61"/>
      <c r="F162" s="28" t="str">
        <f t="array" ref="F162">IFERROR(VLOOKUP(A162,Avaluacio[],COLUMN(Avaluacio[Contingut]),FALSE),"")</f>
        <v>Sí</v>
      </c>
      <c r="G162" s="28" t="str">
        <f t="array" ref="G162">IFERROR(VLOOKUP(A162,Avaluacio[],COLUMN(Avaluacio[Actualització]),FALSE),"")</f>
        <v>Sí</v>
      </c>
      <c r="H162" s="28" t="str">
        <f t="array" ref="H162">IFERROR(VLOOKUP(A162,Avaluacio[#Data],COLUMN(Avaluacio[Grau de compliment]),FALSE),"")</f>
        <v>Compleix totalment</v>
      </c>
    </row>
    <row r="163" spans="1:8" ht="30" customHeight="1" x14ac:dyDescent="0.2">
      <c r="A163" s="28" t="str">
        <f t="array" ref="A163">IFERROR(INDEX(Avaluacio[Codi ítem],(MATCH(0,INDEX(COUNTIF($A$108:A162,Avaluacio[Codi ítem]),0,0)+INDEX(Avaluacio[Avaluable]="No",0,0),0))),"")</f>
        <v>XGO056</v>
      </c>
      <c r="B163" s="61" t="str">
        <f t="array" ref="B163">IFERROR(VLOOKUP(A163,Avaluacio[#Data],COLUMN(Avaluacio[Ítem]),FALSE),"")</f>
        <v>Notícies i opinions sobre les actuacions de govern i de l'oposició</v>
      </c>
      <c r="C163" s="61"/>
      <c r="D163" s="61"/>
      <c r="E163" s="61"/>
      <c r="F163" s="28" t="str">
        <f t="array" ref="F163">IFERROR(VLOOKUP(A163,Avaluacio[],COLUMN(Avaluacio[Contingut]),FALSE),"")</f>
        <v>Sí</v>
      </c>
      <c r="G163" s="28" t="str">
        <f t="array" ref="G163">IFERROR(VLOOKUP(A163,Avaluacio[],COLUMN(Avaluacio[Actualització]),FALSE),"")</f>
        <v>Sí</v>
      </c>
      <c r="H163" s="28" t="str">
        <f t="array" ref="H163">IFERROR(VLOOKUP(A163,Avaluacio[#Data],COLUMN(Avaluacio[Grau de compliment]),FALSE),"")</f>
        <v>Compleix totalment</v>
      </c>
    </row>
    <row r="164" spans="1:8" ht="30" customHeight="1" x14ac:dyDescent="0.2">
      <c r="A164" s="28" t="str">
        <f t="array" ref="A164">IFERROR(INDEX(Avaluacio[Codi ítem],(MATCH(0,INDEX(COUNTIF($A$108:A163,Avaluacio[Codi ítem]),0,0)+INDEX(Avaluacio[Avaluable]="No",0,0),0))),"")</f>
        <v>XGO057</v>
      </c>
      <c r="B164" s="61" t="str">
        <f t="array" ref="B164">IFERROR(VLOOKUP(A164,Avaluacio[#Data],COLUMN(Avaluacio[Ítem]),FALSE),"")</f>
        <v>Opinions i propostes dels grups municipals</v>
      </c>
      <c r="C164" s="61"/>
      <c r="D164" s="61"/>
      <c r="E164" s="61"/>
      <c r="F164" s="28" t="str">
        <f t="array" ref="F164">IFERROR(VLOOKUP(A164,Avaluacio[],COLUMN(Avaluacio[Contingut]),FALSE),"")</f>
        <v>Sí</v>
      </c>
      <c r="G164" s="28" t="str">
        <f t="array" ref="G164">IFERROR(VLOOKUP(A164,Avaluacio[],COLUMN(Avaluacio[Actualització]),FALSE),"")</f>
        <v>Sí</v>
      </c>
      <c r="H164" s="28" t="str">
        <f t="array" ref="H164">IFERROR(VLOOKUP(A164,Avaluacio[#Data],COLUMN(Avaluacio[Grau de compliment]),FALSE),"")</f>
        <v>Compleix totalment</v>
      </c>
    </row>
    <row r="165" spans="1:8" ht="30" customHeight="1" x14ac:dyDescent="0.2">
      <c r="A165" s="28" t="str">
        <f t="array" ref="A165">IFERROR(INDEX(Avaluacio[Codi ítem],(MATCH(0,INDEX(COUNTIF($A$108:A164,Avaluacio[Codi ítem]),0,0)+INDEX(Avaluacio[Avaluable]="No",0,0),0))),"")</f>
        <v>XGO058</v>
      </c>
      <c r="B165" s="61" t="str">
        <f t="array" ref="B165">IFERROR(VLOOKUP(A165,Avaluacio[#Data],COLUMN(Avaluacio[Ítem]),FALSE),"")</f>
        <v>Resolucions de les sol·licituds d’accés a la informació pública</v>
      </c>
      <c r="C165" s="61"/>
      <c r="D165" s="61"/>
      <c r="E165" s="61"/>
      <c r="F165" s="28" t="str">
        <f t="array" ref="F165">IFERROR(VLOOKUP(A165,Avaluacio[],COLUMN(Avaluacio[Contingut]),FALSE),"")</f>
        <v>Sí</v>
      </c>
      <c r="G165" s="28" t="str">
        <f t="array" ref="G165">IFERROR(VLOOKUP(A165,Avaluacio[],COLUMN(Avaluacio[Actualització]),FALSE),"")</f>
        <v>Sí</v>
      </c>
      <c r="H165" s="28" t="str">
        <f t="array" ref="H165">IFERROR(VLOOKUP(A165,Avaluacio[#Data],COLUMN(Avaluacio[Grau de compliment]),FALSE),"")</f>
        <v>Compleix totalment</v>
      </c>
    </row>
    <row r="166" spans="1:8" ht="30" customHeight="1" x14ac:dyDescent="0.2">
      <c r="A166" s="28" t="str">
        <f t="array" ref="A166">IFERROR(INDEX(Avaluacio[Codi ítem],(MATCH(0,INDEX(COUNTIF($A$108:A165,Avaluacio[Codi ítem]),0,0)+INDEX(Avaluacio[Avaluable]="No",0,0),0))),"")</f>
        <v>XGO059</v>
      </c>
      <c r="B166" s="61" t="str">
        <f t="array" ref="B166">IFERROR(VLOOKUP(A166,Avaluacio[#Data],COLUMN(Avaluacio[Ítem]),FALSE),"")</f>
        <v>Estatuts</v>
      </c>
      <c r="C166" s="61"/>
      <c r="D166" s="61"/>
      <c r="E166" s="61"/>
      <c r="F166" s="28" t="str">
        <f t="array" ref="F166">IFERROR(VLOOKUP(A166,Avaluacio[],COLUMN(Avaluacio[Contingut]),FALSE),"")</f>
        <v>Sí</v>
      </c>
      <c r="G166" s="28" t="str">
        <f t="array" ref="G166">IFERROR(VLOOKUP(A166,Avaluacio[],COLUMN(Avaluacio[Actualització]),FALSE),"")</f>
        <v>Sí</v>
      </c>
      <c r="H166" s="28" t="str">
        <f t="array" ref="H166">IFERROR(VLOOKUP(A166,Avaluacio[#Data],COLUMN(Avaluacio[Grau de compliment]),FALSE),"")</f>
        <v>Compleix totalment</v>
      </c>
    </row>
    <row r="167" spans="1:8" ht="30" customHeight="1" x14ac:dyDescent="0.2">
      <c r="A167" s="28" t="str">
        <f t="array" ref="A167">IFERROR(INDEX(Avaluacio[Codi ítem],(MATCH(0,INDEX(COUNTIF($A$108:A166,Avaluacio[Codi ítem]),0,0)+INDEX(Avaluacio[Avaluable]="No",0,0),0))),"")</f>
        <v>XGO060</v>
      </c>
      <c r="B167" s="61" t="str">
        <f t="array" ref="B167">IFERROR(VLOOKUP(A167,Avaluacio[#Data],COLUMN(Avaluacio[Ítem]),FALSE),"")</f>
        <v>Ordenances reguladores i reglaments</v>
      </c>
      <c r="C167" s="61"/>
      <c r="D167" s="61"/>
      <c r="E167" s="61"/>
      <c r="F167" s="28" t="str">
        <f t="array" ref="F167">IFERROR(VLOOKUP(A167,Avaluacio[],COLUMN(Avaluacio[Contingut]),FALSE),"")</f>
        <v>Sí</v>
      </c>
      <c r="G167" s="28" t="str">
        <f t="array" ref="G167">IFERROR(VLOOKUP(A167,Avaluacio[],COLUMN(Avaluacio[Actualització]),FALSE),"")</f>
        <v>Sí</v>
      </c>
      <c r="H167" s="28" t="str">
        <f t="array" ref="H167">IFERROR(VLOOKUP(A167,Avaluacio[#Data],COLUMN(Avaluacio[Grau de compliment]),FALSE),"")</f>
        <v>Compleix totalment</v>
      </c>
    </row>
    <row r="168" spans="1:8" ht="30" customHeight="1" x14ac:dyDescent="0.2">
      <c r="A168" s="28" t="str">
        <f t="array" ref="A168">IFERROR(INDEX(Avaluacio[Codi ítem],(MATCH(0,INDEX(COUNTIF($A$108:A167,Avaluacio[Codi ítem]),0,0)+INDEX(Avaluacio[Avaluable]="No",0,0),0))),"")</f>
        <v>XGO061</v>
      </c>
      <c r="B168" s="61" t="str">
        <f t="array" ref="B168">IFERROR(VLOOKUP(A168,Avaluacio[#Data],COLUMN(Avaluacio[Ítem]),FALSE),"")</f>
        <v>Ordenances fiscals</v>
      </c>
      <c r="C168" s="61"/>
      <c r="D168" s="61"/>
      <c r="E168" s="61"/>
      <c r="F168" s="28" t="str">
        <f t="array" ref="F168">IFERROR(VLOOKUP(A168,Avaluacio[],COLUMN(Avaluacio[Contingut]),FALSE),"")</f>
        <v>Sí</v>
      </c>
      <c r="G168" s="28" t="str">
        <f t="array" ref="G168">IFERROR(VLOOKUP(A168,Avaluacio[],COLUMN(Avaluacio[Actualització]),FALSE),"")</f>
        <v>Sí</v>
      </c>
      <c r="H168" s="28" t="str">
        <f t="array" ref="H168">IFERROR(VLOOKUP(A168,Avaluacio[#Data],COLUMN(Avaluacio[Grau de compliment]),FALSE),"")</f>
        <v>Compleix totalment</v>
      </c>
    </row>
    <row r="169" spans="1:8" ht="30" customHeight="1" x14ac:dyDescent="0.2">
      <c r="A169" s="28" t="str">
        <f t="array" ref="A169">IFERROR(INDEX(Avaluacio[Codi ítem],(MATCH(0,INDEX(COUNTIF($A$108:A168,Avaluacio[Codi ítem]),0,0)+INDEX(Avaluacio[Avaluable]="No",0,0),0))),"")</f>
        <v>XGO062</v>
      </c>
      <c r="B169" s="61" t="str">
        <f t="array" ref="B169">IFERROR(VLOOKUP(A169,Avaluacio[#Data],COLUMN(Avaluacio[Ítem]),FALSE),"")</f>
        <v>Plecs de clàusules generals</v>
      </c>
      <c r="C169" s="61"/>
      <c r="D169" s="61"/>
      <c r="E169" s="61"/>
      <c r="F169" s="28" t="str">
        <f t="array" ref="F169">IFERROR(VLOOKUP(A169,Avaluacio[],COLUMN(Avaluacio[Contingut]),FALSE),"")</f>
        <v>No</v>
      </c>
      <c r="G169" s="28" t="str">
        <f t="array" ref="G169">IFERROR(VLOOKUP(A169,Avaluacio[],COLUMN(Avaluacio[Actualització]),FALSE),"")</f>
        <v>No</v>
      </c>
      <c r="H169" s="28" t="str">
        <f t="array" ref="H169">IFERROR(VLOOKUP(A169,Avaluacio[#Data],COLUMN(Avaluacio[Grau de compliment]),FALSE),"")</f>
        <v>No compleix</v>
      </c>
    </row>
    <row r="170" spans="1:8" ht="30" customHeight="1" x14ac:dyDescent="0.2">
      <c r="A170" s="28" t="str">
        <f t="array" ref="A170">IFERROR(INDEX(Avaluacio[Codi ítem],(MATCH(0,INDEX(COUNTIF($A$108:A169,Avaluacio[Codi ítem]),0,0)+INDEX(Avaluacio[Avaluable]="No",0,0),0))),"")</f>
        <v>XGO063</v>
      </c>
      <c r="B170" s="61" t="str">
        <f t="array" ref="B170">IFERROR(VLOOKUP(A170,Avaluacio[#Data],COLUMN(Avaluacio[Ítem]),FALSE),"")</f>
        <v>Directives, instruccions, circulars i respostes a consultes sobre les normes</v>
      </c>
      <c r="C170" s="61"/>
      <c r="D170" s="61"/>
      <c r="E170" s="61"/>
      <c r="F170" s="28" t="str">
        <f t="array" ref="F170">IFERROR(VLOOKUP(A170,Avaluacio[],COLUMN(Avaluacio[Contingut]),FALSE),"")</f>
        <v>Sí</v>
      </c>
      <c r="G170" s="28" t="str">
        <f t="array" ref="G170">IFERROR(VLOOKUP(A170,Avaluacio[],COLUMN(Avaluacio[Actualització]),FALSE),"")</f>
        <v>Sí</v>
      </c>
      <c r="H170" s="28" t="str">
        <f t="array" ref="H170">IFERROR(VLOOKUP(A170,Avaluacio[#Data],COLUMN(Avaluacio[Grau de compliment]),FALSE),"")</f>
        <v>Compleix totalment</v>
      </c>
    </row>
    <row r="171" spans="1:8" ht="30" customHeight="1" x14ac:dyDescent="0.2">
      <c r="A171" s="28" t="str">
        <f t="array" ref="A171">IFERROR(INDEX(Avaluacio[Codi ítem],(MATCH(0,INDEX(COUNTIF($A$108:A170,Avaluacio[Codi ítem]),0,0)+INDEX(Avaluacio[Avaluable]="No",0,0),0))),"")</f>
        <v>XGO064</v>
      </c>
      <c r="B171" s="61" t="str">
        <f t="array" ref="B171">IFERROR(VLOOKUP(A171,Avaluacio[#Data],COLUMN(Avaluacio[Ítem]),FALSE),"")</f>
        <v>Memòries i documents dels projectes normatius en curs</v>
      </c>
      <c r="C171" s="61"/>
      <c r="D171" s="61"/>
      <c r="E171" s="61"/>
      <c r="F171" s="28" t="str">
        <f t="array" ref="F171">IFERROR(VLOOKUP(A171,Avaluacio[],COLUMN(Avaluacio[Contingut]),FALSE),"")</f>
        <v>Sí</v>
      </c>
      <c r="G171" s="28" t="str">
        <f t="array" ref="G171">IFERROR(VLOOKUP(A171,Avaluacio[],COLUMN(Avaluacio[Actualització]),FALSE),"")</f>
        <v>Sí</v>
      </c>
      <c r="H171" s="28" t="str">
        <f t="array" ref="H171">IFERROR(VLOOKUP(A171,Avaluacio[#Data],COLUMN(Avaluacio[Grau de compliment]),FALSE),"")</f>
        <v>Compleix totalment</v>
      </c>
    </row>
    <row r="172" spans="1:8" ht="30" customHeight="1" x14ac:dyDescent="0.2">
      <c r="A172" s="28" t="str">
        <f t="array" ref="A172">IFERROR(INDEX(Avaluacio[Codi ítem],(MATCH(0,INDEX(COUNTIF($A$108:A171,Avaluacio[Codi ítem]),0,0)+INDEX(Avaluacio[Avaluable]="No",0,0),0))),"")</f>
        <v>XGO065</v>
      </c>
      <c r="B172" s="61" t="str">
        <f t="array" ref="B172">IFERROR(VLOOKUP(A172,Avaluacio[#Data],COLUMN(Avaluacio[Ítem]),FALSE),"")</f>
        <v>Avaluació de l'aplicació de les normes</v>
      </c>
      <c r="C172" s="61"/>
      <c r="D172" s="61"/>
      <c r="E172" s="61"/>
      <c r="F172" s="28" t="str">
        <f t="array" ref="F172">IFERROR(VLOOKUP(A172,Avaluacio[],COLUMN(Avaluacio[Contingut]),FALSE),"")</f>
        <v>Sí</v>
      </c>
      <c r="G172" s="28" t="str">
        <f t="array" ref="G172">IFERROR(VLOOKUP(A172,Avaluacio[],COLUMN(Avaluacio[Actualització]),FALSE),"")</f>
        <v>Sí</v>
      </c>
      <c r="H172" s="28" t="str">
        <f t="array" ref="H172">IFERROR(VLOOKUP(A172,Avaluacio[#Data],COLUMN(Avaluacio[Grau de compliment]),FALSE),"")</f>
        <v>Compleix totalment</v>
      </c>
    </row>
    <row r="173" spans="1:8" ht="30" customHeight="1" x14ac:dyDescent="0.2">
      <c r="A173" s="28" t="str">
        <f t="array" ref="A173">IFERROR(INDEX(Avaluacio[Codi ítem],(MATCH(0,INDEX(COUNTIF($A$108:A172,Avaluacio[Codi ítem]),0,0)+INDEX(Avaluacio[Avaluable]="No",0,0),0))),"")</f>
        <v>XGO066</v>
      </c>
      <c r="B173" s="61" t="str">
        <f t="array" ref="B173">IFERROR(VLOOKUP(A173,Avaluacio[#Data],COLUMN(Avaluacio[Ítem]),FALSE),"")</f>
        <v>Plans i programes destacats sobre les polítiques públiques</v>
      </c>
      <c r="C173" s="61"/>
      <c r="D173" s="61"/>
      <c r="E173" s="61"/>
      <c r="F173" s="28" t="str">
        <f t="array" ref="F173">IFERROR(VLOOKUP(A173,Avaluacio[],COLUMN(Avaluacio[Contingut]),FALSE),"")</f>
        <v>No</v>
      </c>
      <c r="G173" s="28" t="str">
        <f t="array" ref="G173">IFERROR(VLOOKUP(A173,Avaluacio[],COLUMN(Avaluacio[Actualització]),FALSE),"")</f>
        <v>No</v>
      </c>
      <c r="H173" s="28" t="str">
        <f t="array" ref="H173">IFERROR(VLOOKUP(A173,Avaluacio[#Data],COLUMN(Avaluacio[Grau de compliment]),FALSE),"")</f>
        <v>No compleix</v>
      </c>
    </row>
    <row r="174" spans="1:8" ht="30" customHeight="1" x14ac:dyDescent="0.2">
      <c r="A174" s="28" t="str">
        <f t="array" ref="A174">IFERROR(INDEX(Avaluacio[Codi ítem],(MATCH(0,INDEX(COUNTIF($A$108:A173,Avaluacio[Codi ítem]),0,0)+INDEX(Avaluacio[Avaluable]="No",0,0),0))),"")</f>
        <v>XGO067</v>
      </c>
      <c r="B174" s="61" t="str">
        <f t="array" ref="B174">IFERROR(VLOOKUP(A174,Avaluacio[#Data],COLUMN(Avaluacio[Ítem]),FALSE),"")</f>
        <v>Pla anual normatiu</v>
      </c>
      <c r="C174" s="61"/>
      <c r="D174" s="61"/>
      <c r="E174" s="61"/>
      <c r="F174" s="28" t="str">
        <f t="array" ref="F174">IFERROR(VLOOKUP(A174,Avaluacio[],COLUMN(Avaluacio[Contingut]),FALSE),"")</f>
        <v>Sí</v>
      </c>
      <c r="G174" s="28" t="str">
        <f t="array" ref="G174">IFERROR(VLOOKUP(A174,Avaluacio[],COLUMN(Avaluacio[Actualització]),FALSE),"")</f>
        <v>Sí</v>
      </c>
      <c r="H174" s="28" t="str">
        <f t="array" ref="H174">IFERROR(VLOOKUP(A174,Avaluacio[#Data],COLUMN(Avaluacio[Grau de compliment]),FALSE),"")</f>
        <v>Compleix totalment</v>
      </c>
    </row>
    <row r="175" spans="1:8" ht="30" customHeight="1" x14ac:dyDescent="0.2">
      <c r="A175" s="28" t="str">
        <f t="array" ref="A175">IFERROR(INDEX(Avaluacio[Codi ítem],(MATCH(0,INDEX(COUNTIF($A$108:A174,Avaluacio[Codi ítem]),0,0)+INDEX(Avaluacio[Avaluable]="No",0,0),0))),"")</f>
        <v>XGO068</v>
      </c>
      <c r="B175" s="61" t="str">
        <f t="array" ref="B175">IFERROR(VLOOKUP(A175,Avaluacio[#Data],COLUMN(Avaluacio[Ítem]),FALSE),"")</f>
        <v>Calendari i padrons fiscals</v>
      </c>
      <c r="C175" s="61"/>
      <c r="D175" s="61"/>
      <c r="E175" s="61"/>
      <c r="F175" s="28" t="str">
        <f t="array" ref="F175">IFERROR(VLOOKUP(A175,Avaluacio[],COLUMN(Avaluacio[Contingut]),FALSE),"")</f>
        <v>Sí</v>
      </c>
      <c r="G175" s="28" t="str">
        <f t="array" ref="G175">IFERROR(VLOOKUP(A175,Avaluacio[],COLUMN(Avaluacio[Actualització]),FALSE),"")</f>
        <v>Sí</v>
      </c>
      <c r="H175" s="28" t="str">
        <f t="array" ref="H175">IFERROR(VLOOKUP(A175,Avaluacio[#Data],COLUMN(Avaluacio[Grau de compliment]),FALSE),"")</f>
        <v>Compleix totalment</v>
      </c>
    </row>
    <row r="176" spans="1:8" ht="30" customHeight="1" x14ac:dyDescent="0.2">
      <c r="A176" s="28" t="str">
        <f t="array" ref="A176">IFERROR(INDEX(Avaluacio[Codi ítem],(MATCH(0,INDEX(COUNTIF($A$108:A175,Avaluacio[Codi ítem]),0,0)+INDEX(Avaluacio[Avaluable]="No",0,0),0))),"")</f>
        <v>XGO069</v>
      </c>
      <c r="B176" s="61" t="str">
        <f t="array" ref="B176">IFERROR(VLOOKUP(A176,Avaluacio[#Data],COLUMN(Avaluacio[Ítem]),FALSE),"")</f>
        <v>Tipus impositius</v>
      </c>
      <c r="C176" s="61"/>
      <c r="D176" s="61"/>
      <c r="E176" s="61"/>
      <c r="F176" s="28" t="str">
        <f t="array" ref="F176">IFERROR(VLOOKUP(A176,Avaluacio[],COLUMN(Avaluacio[Contingut]),FALSE),"")</f>
        <v>Sí</v>
      </c>
      <c r="G176" s="28" t="str">
        <f t="array" ref="G176">IFERROR(VLOOKUP(A176,Avaluacio[],COLUMN(Avaluacio[Actualització]),FALSE),"")</f>
        <v>Sí</v>
      </c>
      <c r="H176" s="28" t="str">
        <f t="array" ref="H176">IFERROR(VLOOKUP(A176,Avaluacio[#Data],COLUMN(Avaluacio[Grau de compliment]),FALSE),"")</f>
        <v>Compleix totalment</v>
      </c>
    </row>
    <row r="177" spans="1:8" ht="30" customHeight="1" x14ac:dyDescent="0.2">
      <c r="A177" s="28" t="str">
        <f t="array" ref="A177">IFERROR(INDEX(Avaluacio[Codi ítem],(MATCH(0,INDEX(COUNTIF($A$108:A176,Avaluacio[Codi ítem]),0,0)+INDEX(Avaluacio[Avaluable]="No",0,0),0))),"")</f>
        <v>XGO070</v>
      </c>
      <c r="B177" s="61" t="str">
        <f t="array" ref="B177">IFERROR(VLOOKUP(A177,Avaluacio[#Data],COLUMN(Avaluacio[Ítem]),FALSE),"")</f>
        <v>Normativa d'urbanisme</v>
      </c>
      <c r="C177" s="61"/>
      <c r="D177" s="61"/>
      <c r="E177" s="61"/>
      <c r="F177" s="28" t="str">
        <f t="array" ref="F177">IFERROR(VLOOKUP(A177,Avaluacio[],COLUMN(Avaluacio[Contingut]),FALSE),"")</f>
        <v>Sí</v>
      </c>
      <c r="G177" s="28" t="str">
        <f t="array" ref="G177">IFERROR(VLOOKUP(A177,Avaluacio[],COLUMN(Avaluacio[Actualització]),FALSE),"")</f>
        <v>Sí</v>
      </c>
      <c r="H177" s="28" t="str">
        <f t="array" ref="H177">IFERROR(VLOOKUP(A177,Avaluacio[#Data],COLUMN(Avaluacio[Grau de compliment]),FALSE),"")</f>
        <v>Compleix totalment</v>
      </c>
    </row>
    <row r="178" spans="1:8" ht="30" customHeight="1" x14ac:dyDescent="0.2">
      <c r="A178" s="28" t="str">
        <f t="array" ref="A178">IFERROR(INDEX(Avaluacio[Codi ítem],(MATCH(0,INDEX(COUNTIF($A$108:A177,Avaluacio[Codi ítem]),0,0)+INDEX(Avaluacio[Avaluable]="No",0,0),0))),"")</f>
        <v>XGO071</v>
      </c>
      <c r="B178" s="61" t="str">
        <f t="array" ref="B178">IFERROR(VLOOKUP(A178,Avaluacio[#Data],COLUMN(Avaluacio[Ítem]),FALSE),"")</f>
        <v>Planejament urbanístic</v>
      </c>
      <c r="C178" s="61"/>
      <c r="D178" s="61"/>
      <c r="E178" s="61"/>
      <c r="F178" s="28" t="str">
        <f t="array" ref="F178">IFERROR(VLOOKUP(A178,Avaluacio[],COLUMN(Avaluacio[Contingut]),FALSE),"")</f>
        <v>Sí</v>
      </c>
      <c r="G178" s="28" t="str">
        <f t="array" ref="G178">IFERROR(VLOOKUP(A178,Avaluacio[],COLUMN(Avaluacio[Actualització]),FALSE),"")</f>
        <v>Sí</v>
      </c>
      <c r="H178" s="28" t="str">
        <f t="array" ref="H178">IFERROR(VLOOKUP(A178,Avaluacio[#Data],COLUMN(Avaluacio[Grau de compliment]),FALSE),"")</f>
        <v>Compleix totalment</v>
      </c>
    </row>
    <row r="179" spans="1:8" ht="30" customHeight="1" x14ac:dyDescent="0.2">
      <c r="A179" s="28" t="str">
        <f t="array" ref="A179">IFERROR(INDEX(Avaluacio[Codi ítem],(MATCH(0,INDEX(COUNTIF($A$108:A178,Avaluacio[Codi ítem]),0,0)+INDEX(Avaluacio[Avaluable]="No",0,0),0))),"")</f>
        <v>XGO072</v>
      </c>
      <c r="B179" s="61" t="str">
        <f t="array" ref="B179">IFERROR(VLOOKUP(A179,Avaluacio[#Data],COLUMN(Avaluacio[Ítem]),FALSE),"")</f>
        <v>Informació geogràfica d'urbanisme</v>
      </c>
      <c r="C179" s="61"/>
      <c r="D179" s="61"/>
      <c r="E179" s="61"/>
      <c r="F179" s="28" t="str">
        <f t="array" ref="F179">IFERROR(VLOOKUP(A179,Avaluacio[],COLUMN(Avaluacio[Contingut]),FALSE),"")</f>
        <v>Sí</v>
      </c>
      <c r="G179" s="28" t="str">
        <f t="array" ref="G179">IFERROR(VLOOKUP(A179,Avaluacio[],COLUMN(Avaluacio[Actualització]),FALSE),"")</f>
        <v>Sí</v>
      </c>
      <c r="H179" s="28" t="str">
        <f t="array" ref="H179">IFERROR(VLOOKUP(A179,Avaluacio[#Data],COLUMN(Avaluacio[Grau de compliment]),FALSE),"")</f>
        <v>Compleix totalment</v>
      </c>
    </row>
    <row r="180" spans="1:8" ht="30" customHeight="1" x14ac:dyDescent="0.2">
      <c r="A180" s="28" t="str">
        <f t="array" ref="A180">IFERROR(INDEX(Avaluacio[Codi ítem],(MATCH(0,INDEX(COUNTIF($A$108:A179,Avaluacio[Codi ítem]),0,0)+INDEX(Avaluacio[Avaluable]="No",0,0),0))),"")</f>
        <v>XGO073</v>
      </c>
      <c r="B180" s="61" t="str">
        <f t="array" ref="B180">IFERROR(VLOOKUP(A180,Avaluacio[#Data],COLUMN(Avaluacio[Ítem]),FALSE),"")</f>
        <v>Plans territorials d'urbanisme</v>
      </c>
      <c r="C180" s="61"/>
      <c r="D180" s="61"/>
      <c r="E180" s="61"/>
      <c r="F180" s="28" t="str">
        <f t="array" ref="F180">IFERROR(VLOOKUP(A180,Avaluacio[],COLUMN(Avaluacio[Contingut]),FALSE),"")</f>
        <v>Sí</v>
      </c>
      <c r="G180" s="28" t="str">
        <f t="array" ref="G180">IFERROR(VLOOKUP(A180,Avaluacio[],COLUMN(Avaluacio[Actualització]),FALSE),"")</f>
        <v>Sí</v>
      </c>
      <c r="H180" s="28" t="str">
        <f t="array" ref="H180">IFERROR(VLOOKUP(A180,Avaluacio[#Data],COLUMN(Avaluacio[Grau de compliment]),FALSE),"")</f>
        <v>Compleix totalment</v>
      </c>
    </row>
    <row r="181" spans="1:8" ht="30" customHeight="1" x14ac:dyDescent="0.2">
      <c r="A181" s="28" t="str">
        <f t="array" ref="A181">IFERROR(INDEX(Avaluacio[Codi ítem],(MATCH(0,INDEX(COUNTIF($A$108:A180,Avaluacio[Codi ítem]),0,0)+INDEX(Avaluacio[Avaluable]="No",0,0),0))),"")</f>
        <v>XGO074</v>
      </c>
      <c r="B181" s="61" t="str">
        <f t="array" ref="B181">IFERROR(VLOOKUP(A181,Avaluacio[#Data],COLUMN(Avaluacio[Ítem]),FALSE),"")</f>
        <v>Estudis d'impacte ambiental i paisatgístic</v>
      </c>
      <c r="C181" s="61"/>
      <c r="D181" s="61"/>
      <c r="E181" s="61"/>
      <c r="F181" s="28" t="str">
        <f t="array" ref="F181">IFERROR(VLOOKUP(A181,Avaluacio[],COLUMN(Avaluacio[Contingut]),FALSE),"")</f>
        <v>Sí</v>
      </c>
      <c r="G181" s="28" t="str">
        <f t="array" ref="G181">IFERROR(VLOOKUP(A181,Avaluacio[],COLUMN(Avaluacio[Actualització]),FALSE),"")</f>
        <v>Sí</v>
      </c>
      <c r="H181" s="28" t="str">
        <f t="array" ref="H181">IFERROR(VLOOKUP(A181,Avaluacio[#Data],COLUMN(Avaluacio[Grau de compliment]),FALSE),"")</f>
        <v>Compleix totalment</v>
      </c>
    </row>
    <row r="182" spans="1:8" ht="30" customHeight="1" x14ac:dyDescent="0.2">
      <c r="A182" s="28" t="str">
        <f t="array" ref="A182">IFERROR(INDEX(Avaluacio[Codi ítem],(MATCH(0,INDEX(COUNTIF($A$108:A181,Avaluacio[Codi ítem]),0,0)+INDEX(Avaluacio[Avaluable]="No",0,0),0))),"")</f>
        <v>XGO075</v>
      </c>
      <c r="B182" s="61" t="str">
        <f t="array" ref="B182">IFERROR(VLOOKUP(A182,Avaluacio[#Data],COLUMN(Avaluacio[Ítem]),FALSE),"")</f>
        <v>Calendari de conservació i règim d'accés documental</v>
      </c>
      <c r="C182" s="61"/>
      <c r="D182" s="61"/>
      <c r="E182" s="61"/>
      <c r="F182" s="28" t="str">
        <f t="array" ref="F182">IFERROR(VLOOKUP(A182,Avaluacio[],COLUMN(Avaluacio[Contingut]),FALSE),"")</f>
        <v>Sí</v>
      </c>
      <c r="G182" s="28" t="str">
        <f t="array" ref="G182">IFERROR(VLOOKUP(A182,Avaluacio[],COLUMN(Avaluacio[Actualització]),FALSE),"")</f>
        <v>Sí</v>
      </c>
      <c r="H182" s="28" t="str">
        <f t="array" ref="H182">IFERROR(VLOOKUP(A182,Avaluacio[#Data],COLUMN(Avaluacio[Grau de compliment]),FALSE),"")</f>
        <v>Compleix totalment</v>
      </c>
    </row>
    <row r="183" spans="1:8" ht="30" customHeight="1" x14ac:dyDescent="0.2">
      <c r="A183" s="28" t="str">
        <f t="array" ref="A183">IFERROR(INDEX(Avaluacio[Codi ítem],(MATCH(0,INDEX(COUNTIF($A$108:A182,Avaluacio[Codi ítem]),0,0)+INDEX(Avaluacio[Avaluable]="No",0,0),0))),"")</f>
        <v>XGO076</v>
      </c>
      <c r="B183" s="61" t="str">
        <f t="array" ref="B183">IFERROR(VLOOKUP(A183,Avaluacio[#Data],COLUMN(Avaluacio[Ítem]),FALSE),"")</f>
        <v>Quadre de classificació documental</v>
      </c>
      <c r="C183" s="61"/>
      <c r="D183" s="61"/>
      <c r="E183" s="61"/>
      <c r="F183" s="28" t="str">
        <f t="array" ref="F183">IFERROR(VLOOKUP(A183,Avaluacio[],COLUMN(Avaluacio[Contingut]),FALSE),"")</f>
        <v>Sí</v>
      </c>
      <c r="G183" s="28" t="str">
        <f t="array" ref="G183">IFERROR(VLOOKUP(A183,Avaluacio[],COLUMN(Avaluacio[Actualització]),FALSE),"")</f>
        <v>Sí</v>
      </c>
      <c r="H183" s="28" t="str">
        <f t="array" ref="H183">IFERROR(VLOOKUP(A183,Avaluacio[#Data],COLUMN(Avaluacio[Grau de compliment]),FALSE),"")</f>
        <v>Compleix totalment</v>
      </c>
    </row>
    <row r="184" spans="1:8" ht="30" customHeight="1" x14ac:dyDescent="0.2">
      <c r="A184" s="28" t="str">
        <f t="array" ref="A184">IFERROR(INDEX(Avaluacio[Codi ítem],(MATCH(0,INDEX(COUNTIF($A$108:A183,Avaluacio[Codi ítem]),0,0)+INDEX(Avaluacio[Avaluable]="No",0,0),0))),"")</f>
        <v>XGO077</v>
      </c>
      <c r="B184" s="61" t="str">
        <f t="array" ref="B184">IFERROR(VLOOKUP(A184,Avaluacio[#Data],COLUMN(Avaluacio[Ítem]),FALSE),"")</f>
        <v>Instruments de descripció documental</v>
      </c>
      <c r="C184" s="61"/>
      <c r="D184" s="61"/>
      <c r="E184" s="61"/>
      <c r="F184" s="28" t="str">
        <f t="array" ref="F184">IFERROR(VLOOKUP(A184,Avaluacio[],COLUMN(Avaluacio[Contingut]),FALSE),"")</f>
        <v>Sí</v>
      </c>
      <c r="G184" s="28" t="str">
        <f t="array" ref="G184">IFERROR(VLOOKUP(A184,Avaluacio[],COLUMN(Avaluacio[Actualització]),FALSE),"")</f>
        <v>Sí</v>
      </c>
      <c r="H184" s="28" t="str">
        <f t="array" ref="H184">IFERROR(VLOOKUP(A184,Avaluacio[#Data],COLUMN(Avaluacio[Grau de compliment]),FALSE),"")</f>
        <v>Compleix totalment</v>
      </c>
    </row>
    <row r="185" spans="1:8" ht="30" customHeight="1" x14ac:dyDescent="0.2">
      <c r="A185" s="28" t="str">
        <f t="array" ref="A185">IFERROR(INDEX(Avaluacio[Codi ítem],(MATCH(0,INDEX(COUNTIF($A$108:A184,Avaluacio[Codi ítem]),0,0)+INDEX(Avaluacio[Avaluable]="No",0,0),0))),"")</f>
        <v>XGO078</v>
      </c>
      <c r="B185" s="61" t="str">
        <f t="array" ref="B185">IFERROR(VLOOKUP(A185,Avaluacio[#Data],COLUMN(Avaluacio[Ítem]),FALSE),"")</f>
        <v>Registre d'eliminació de documents</v>
      </c>
      <c r="C185" s="61"/>
      <c r="D185" s="61"/>
      <c r="E185" s="61"/>
      <c r="F185" s="28" t="str">
        <f t="array" ref="F185">IFERROR(VLOOKUP(A185,Avaluacio[],COLUMN(Avaluacio[Contingut]),FALSE),"")</f>
        <v>Sí</v>
      </c>
      <c r="G185" s="28" t="str">
        <f t="array" ref="G185">IFERROR(VLOOKUP(A185,Avaluacio[],COLUMN(Avaluacio[Actualització]),FALSE),"")</f>
        <v>Sí</v>
      </c>
      <c r="H185" s="28" t="str">
        <f t="array" ref="H185">IFERROR(VLOOKUP(A185,Avaluacio[#Data],COLUMN(Avaluacio[Grau de compliment]),FALSE),"")</f>
        <v>Compleix totalment</v>
      </c>
    </row>
    <row r="186" spans="1:8" ht="30" customHeight="1" x14ac:dyDescent="0.2">
      <c r="A186" s="28" t="str">
        <f t="array" ref="A186">IFERROR(INDEX(Avaluacio[Codi ítem],(MATCH(0,INDEX(COUNTIF($A$108:A185,Avaluacio[Codi ítem]),0,0)+INDEX(Avaluacio[Avaluable]="No",0,0),0))),"")</f>
        <v>XGO079</v>
      </c>
      <c r="B186" s="61" t="str">
        <f t="array" ref="B186">IFERROR(VLOOKUP(A186,Avaluacio[#Data],COLUMN(Avaluacio[Ítem]),FALSE),"")</f>
        <v>Licitacions en tràmit (perfil de contractant)</v>
      </c>
      <c r="C186" s="61"/>
      <c r="D186" s="61"/>
      <c r="E186" s="61"/>
      <c r="F186" s="28" t="str">
        <f t="array" ref="F186">IFERROR(VLOOKUP(A186,Avaluacio[],COLUMN(Avaluacio[Contingut]),FALSE),"")</f>
        <v>No</v>
      </c>
      <c r="G186" s="28" t="str">
        <f t="array" ref="G186">IFERROR(VLOOKUP(A186,Avaluacio[],COLUMN(Avaluacio[Actualització]),FALSE),"")</f>
        <v>Sí</v>
      </c>
      <c r="H186" s="28" t="str">
        <f t="array" ref="H186">IFERROR(VLOOKUP(A186,Avaluacio[#Data],COLUMN(Avaluacio[Grau de compliment]),FALSE),"")</f>
        <v>Compleix parcialment</v>
      </c>
    </row>
    <row r="187" spans="1:8" ht="30" customHeight="1" x14ac:dyDescent="0.2">
      <c r="A187" s="28" t="str">
        <f t="array" ref="A187">IFERROR(INDEX(Avaluacio[Codi ítem],(MATCH(0,INDEX(COUNTIF($A$108:A186,Avaluacio[Codi ítem]),0,0)+INDEX(Avaluacio[Avaluable]="No",0,0),0))),"")</f>
        <v>XGO080</v>
      </c>
      <c r="B187" s="61" t="str">
        <f t="array" ref="B187">IFERROR(VLOOKUP(A187,Avaluacio[#Data],COLUMN(Avaluacio[Ítem]),FALSE),"")</f>
        <v>Contractes programats</v>
      </c>
      <c r="C187" s="61"/>
      <c r="D187" s="61"/>
      <c r="E187" s="61"/>
      <c r="F187" s="28" t="str">
        <f t="array" ref="F187">IFERROR(VLOOKUP(A187,Avaluacio[],COLUMN(Avaluacio[Contingut]),FALSE),"")</f>
        <v>Sí</v>
      </c>
      <c r="G187" s="28" t="str">
        <f t="array" ref="G187">IFERROR(VLOOKUP(A187,Avaluacio[],COLUMN(Avaluacio[Actualització]),FALSE),"")</f>
        <v>Sí</v>
      </c>
      <c r="H187" s="28" t="str">
        <f t="array" ref="H187">IFERROR(VLOOKUP(A187,Avaluacio[#Data],COLUMN(Avaluacio[Grau de compliment]),FALSE),"")</f>
        <v>Compleix totalment</v>
      </c>
    </row>
    <row r="188" spans="1:8" ht="30" customHeight="1" x14ac:dyDescent="0.2">
      <c r="A188" s="28" t="str">
        <f t="array" ref="A188">IFERROR(INDEX(Avaluacio[Codi ítem],(MATCH(0,INDEX(COUNTIF($A$108:A187,Avaluacio[Codi ítem]),0,0)+INDEX(Avaluacio[Avaluable]="No",0,0),0))),"")</f>
        <v>XGO081</v>
      </c>
      <c r="B188" s="61" t="str">
        <f t="array" ref="B188">IFERROR(VLOOKUP(A188,Avaluacio[#Data],COLUMN(Avaluacio[Ítem]),FALSE),"")</f>
        <v>Relació de contractes adjudicats (històric)</v>
      </c>
      <c r="C188" s="61"/>
      <c r="D188" s="61"/>
      <c r="E188" s="61"/>
      <c r="F188" s="28" t="str">
        <f t="array" ref="F188">IFERROR(VLOOKUP(A188,Avaluacio[],COLUMN(Avaluacio[Contingut]),FALSE),"")</f>
        <v>Sí</v>
      </c>
      <c r="G188" s="28" t="str">
        <f t="array" ref="G188">IFERROR(VLOOKUP(A188,Avaluacio[],COLUMN(Avaluacio[Actualització]),FALSE),"")</f>
        <v>Sí</v>
      </c>
      <c r="H188" s="28" t="str">
        <f t="array" ref="H188">IFERROR(VLOOKUP(A188,Avaluacio[#Data],COLUMN(Avaluacio[Grau de compliment]),FALSE),"")</f>
        <v>Compleix totalment</v>
      </c>
    </row>
    <row r="189" spans="1:8" ht="30" customHeight="1" x14ac:dyDescent="0.2">
      <c r="A189" s="28" t="str">
        <f t="array" ref="A189">IFERROR(INDEX(Avaluacio[Codi ítem],(MATCH(0,INDEX(COUNTIF($A$108:A188,Avaluacio[Codi ítem]),0,0)+INDEX(Avaluacio[Avaluable]="No",0,0),0))),"")</f>
        <v>XGO082</v>
      </c>
      <c r="B189" s="61" t="str">
        <f t="array" ref="B189">IFERROR(VLOOKUP(A189,Avaluacio[#Data],COLUMN(Avaluacio[Ítem]),FALSE),"")</f>
        <v>Relació de contractes menors (històric)</v>
      </c>
      <c r="C189" s="61"/>
      <c r="D189" s="61"/>
      <c r="E189" s="61"/>
      <c r="F189" s="28" t="str">
        <f t="array" ref="F189">IFERROR(VLOOKUP(A189,Avaluacio[],COLUMN(Avaluacio[Contingut]),FALSE),"")</f>
        <v>Sí</v>
      </c>
      <c r="G189" s="28" t="str">
        <f t="array" ref="G189">IFERROR(VLOOKUP(A189,Avaluacio[],COLUMN(Avaluacio[Actualització]),FALSE),"")</f>
        <v>Sí</v>
      </c>
      <c r="H189" s="28" t="str">
        <f t="array" ref="H189">IFERROR(VLOOKUP(A189,Avaluacio[#Data],COLUMN(Avaluacio[Grau de compliment]),FALSE),"")</f>
        <v>Compleix totalment</v>
      </c>
    </row>
    <row r="190" spans="1:8" ht="30" customHeight="1" x14ac:dyDescent="0.2">
      <c r="A190" s="28" t="str">
        <f t="array" ref="A190">IFERROR(INDEX(Avaluacio[Codi ítem],(MATCH(0,INDEX(COUNTIF($A$108:A189,Avaluacio[Codi ítem]),0,0)+INDEX(Avaluacio[Avaluable]="No",0,0),0))),"")</f>
        <v>XGO083</v>
      </c>
      <c r="B190" s="61" t="str">
        <f t="array" ref="B190">IFERROR(VLOOKUP(A190,Avaluacio[#Data],COLUMN(Avaluacio[Ítem]),FALSE),"")</f>
        <v>Modificacions de contractes</v>
      </c>
      <c r="C190" s="61"/>
      <c r="D190" s="61"/>
      <c r="E190" s="61"/>
      <c r="F190" s="28" t="str">
        <f t="array" ref="F190">IFERROR(VLOOKUP(A190,Avaluacio[],COLUMN(Avaluacio[Contingut]),FALSE),"")</f>
        <v>Sí</v>
      </c>
      <c r="G190" s="28" t="str">
        <f t="array" ref="G190">IFERROR(VLOOKUP(A190,Avaluacio[],COLUMN(Avaluacio[Actualització]),FALSE),"")</f>
        <v>Sí</v>
      </c>
      <c r="H190" s="28" t="str">
        <f t="array" ref="H190">IFERROR(VLOOKUP(A190,Avaluacio[#Data],COLUMN(Avaluacio[Grau de compliment]),FALSE),"")</f>
        <v>Compleix totalment</v>
      </c>
    </row>
    <row r="191" spans="1:8" ht="30" customHeight="1" x14ac:dyDescent="0.2">
      <c r="A191" s="28" t="str">
        <f t="array" ref="A191">IFERROR(INDEX(Avaluacio[Codi ítem],(MATCH(0,INDEX(COUNTIF($A$108:A190,Avaluacio[Codi ítem]),0,0)+INDEX(Avaluacio[Avaluable]="No",0,0),0))),"")</f>
        <v>XGO084</v>
      </c>
      <c r="B191" s="61" t="str">
        <f t="array" ref="B191">IFERROR(VLOOKUP(A191,Avaluacio[#Data],COLUMN(Avaluacio[Ítem]),FALSE),"")</f>
        <v>Registre de factures</v>
      </c>
      <c r="C191" s="61"/>
      <c r="D191" s="61"/>
      <c r="E191" s="61"/>
      <c r="F191" s="28" t="str">
        <f t="array" ref="F191">IFERROR(VLOOKUP(A191,Avaluacio[],COLUMN(Avaluacio[Contingut]),FALSE),"")</f>
        <v>Sí</v>
      </c>
      <c r="G191" s="28" t="str">
        <f t="array" ref="G191">IFERROR(VLOOKUP(A191,Avaluacio[],COLUMN(Avaluacio[Actualització]),FALSE),"")</f>
        <v>Sí</v>
      </c>
      <c r="H191" s="28" t="str">
        <f t="array" ref="H191">IFERROR(VLOOKUP(A191,Avaluacio[#Data],COLUMN(Avaluacio[Grau de compliment]),FALSE),"")</f>
        <v>Compleix totalment</v>
      </c>
    </row>
    <row r="192" spans="1:8" ht="30" customHeight="1" x14ac:dyDescent="0.2">
      <c r="A192" s="28" t="str">
        <f t="array" ref="A192">IFERROR(INDEX(Avaluacio[Codi ítem],(MATCH(0,INDEX(COUNTIF($A$108:A191,Avaluacio[Codi ítem]),0,0)+INDEX(Avaluacio[Avaluable]="No",0,0),0))),"")</f>
        <v>XGO085</v>
      </c>
      <c r="B192" s="61" t="str">
        <f t="array" ref="B192">IFERROR(VLOOKUP(A192,Avaluacio[#Data],COLUMN(Avaluacio[Ítem]),FALSE),"")</f>
        <v>Relació de proveïdors, adjudicataris i/o contractistes</v>
      </c>
      <c r="C192" s="61"/>
      <c r="D192" s="61"/>
      <c r="E192" s="61"/>
      <c r="F192" s="28" t="str">
        <f t="array" ref="F192">IFERROR(VLOOKUP(A192,Avaluacio[],COLUMN(Avaluacio[Contingut]),FALSE),"")</f>
        <v>Sí</v>
      </c>
      <c r="G192" s="28" t="str">
        <f t="array" ref="G192">IFERROR(VLOOKUP(A192,Avaluacio[],COLUMN(Avaluacio[Actualització]),FALSE),"")</f>
        <v>Sí</v>
      </c>
      <c r="H192" s="28" t="str">
        <f t="array" ref="H192">IFERROR(VLOOKUP(A192,Avaluacio[#Data],COLUMN(Avaluacio[Grau de compliment]),FALSE),"")</f>
        <v>Compleix totalment</v>
      </c>
    </row>
    <row r="193" spans="1:8" ht="30" customHeight="1" x14ac:dyDescent="0.2">
      <c r="A193" s="28" t="str">
        <f t="array" ref="A193">IFERROR(INDEX(Avaluacio[Codi ítem],(MATCH(0,INDEX(COUNTIF($A$108:A192,Avaluacio[Codi ítem]),0,0)+INDEX(Avaluacio[Avaluable]="No",0,0),0))),"")</f>
        <v>XGO086</v>
      </c>
      <c r="B193" s="61" t="str">
        <f t="array" ref="B193">IFERROR(VLOOKUP(A193,Avaluacio[#Data],COLUMN(Avaluacio[Ítem]),FALSE),"")</f>
        <v>Òrgans de contractació</v>
      </c>
      <c r="C193" s="61"/>
      <c r="D193" s="61"/>
      <c r="E193" s="61"/>
      <c r="F193" s="28" t="str">
        <f t="array" ref="F193">IFERROR(VLOOKUP(A193,Avaluacio[],COLUMN(Avaluacio[Contingut]),FALSE),"")</f>
        <v>Sí</v>
      </c>
      <c r="G193" s="28" t="str">
        <f t="array" ref="G193">IFERROR(VLOOKUP(A193,Avaluacio[],COLUMN(Avaluacio[Actualització]),FALSE),"")</f>
        <v>Sí</v>
      </c>
      <c r="H193" s="28" t="str">
        <f t="array" ref="H193">IFERROR(VLOOKUP(A193,Avaluacio[#Data],COLUMN(Avaluacio[Grau de compliment]),FALSE),"")</f>
        <v>Compleix totalment</v>
      </c>
    </row>
    <row r="194" spans="1:8" ht="30" customHeight="1" x14ac:dyDescent="0.2">
      <c r="A194" s="28" t="str">
        <f t="array" ref="A194">IFERROR(INDEX(Avaluacio[Codi ítem],(MATCH(0,INDEX(COUNTIF($A$108:A193,Avaluacio[Codi ítem]),0,0)+INDEX(Avaluacio[Avaluable]="No",0,0),0))),"")</f>
        <v>XGO087</v>
      </c>
      <c r="B194" s="61" t="str">
        <f t="array" ref="B194">IFERROR(VLOOKUP(A194,Avaluacio[#Data],COLUMN(Avaluacio[Ítem]),FALSE),"")</f>
        <v>Registre de licitadors</v>
      </c>
      <c r="C194" s="61"/>
      <c r="D194" s="61"/>
      <c r="E194" s="61"/>
      <c r="F194" s="28" t="str">
        <f t="array" ref="F194">IFERROR(VLOOKUP(A194,Avaluacio[],COLUMN(Avaluacio[Contingut]),FALSE),"")</f>
        <v>Sí</v>
      </c>
      <c r="G194" s="28" t="str">
        <f t="array" ref="G194">IFERROR(VLOOKUP(A194,Avaluacio[],COLUMN(Avaluacio[Actualització]),FALSE),"")</f>
        <v>Sí</v>
      </c>
      <c r="H194" s="28" t="str">
        <f t="array" ref="H194">IFERROR(VLOOKUP(A194,Avaluacio[#Data],COLUMN(Avaluacio[Grau de compliment]),FALSE),"")</f>
        <v>Compleix totalment</v>
      </c>
    </row>
    <row r="195" spans="1:8" ht="30" customHeight="1" x14ac:dyDescent="0.2">
      <c r="A195" s="28" t="str">
        <f t="array" ref="A195">IFERROR(INDEX(Avaluacio[Codi ítem],(MATCH(0,INDEX(COUNTIF($A$108:A194,Avaluacio[Codi ítem]),0,0)+INDEX(Avaluacio[Avaluable]="No",0,0),0))),"")</f>
        <v>XGO088</v>
      </c>
      <c r="B195" s="61" t="str">
        <f t="array" ref="B195">IFERROR(VLOOKUP(A195,Avaluacio[#Data],COLUMN(Avaluacio[Ítem]),FALSE),"")</f>
        <v>Registre d'empreses classificades</v>
      </c>
      <c r="C195" s="61"/>
      <c r="D195" s="61"/>
      <c r="E195" s="61"/>
      <c r="F195" s="28" t="str">
        <f t="array" ref="F195">IFERROR(VLOOKUP(A195,Avaluacio[],COLUMN(Avaluacio[Contingut]),FALSE),"")</f>
        <v>Sí</v>
      </c>
      <c r="G195" s="28" t="str">
        <f t="array" ref="G195">IFERROR(VLOOKUP(A195,Avaluacio[],COLUMN(Avaluacio[Actualització]),FALSE),"")</f>
        <v>Sí</v>
      </c>
      <c r="H195" s="28" t="str">
        <f t="array" ref="H195">IFERROR(VLOOKUP(A195,Avaluacio[#Data],COLUMN(Avaluacio[Grau de compliment]),FALSE),"")</f>
        <v>Compleix totalment</v>
      </c>
    </row>
    <row r="196" spans="1:8" ht="30" customHeight="1" x14ac:dyDescent="0.2">
      <c r="A196" s="28" t="str">
        <f t="array" ref="A196">IFERROR(INDEX(Avaluacio[Codi ítem],(MATCH(0,INDEX(COUNTIF($A$108:A195,Avaluacio[Codi ítem]),0,0)+INDEX(Avaluacio[Avaluable]="No",0,0),0))),"")</f>
        <v>XGO089</v>
      </c>
      <c r="B196" s="61" t="str">
        <f t="array" ref="B196">IFERROR(VLOOKUP(A196,Avaluacio[#Data],COLUMN(Avaluacio[Ítem]),FALSE),"")</f>
        <v>Criteris interpretatius de contractació</v>
      </c>
      <c r="C196" s="61"/>
      <c r="D196" s="61"/>
      <c r="E196" s="61"/>
      <c r="F196" s="28" t="str">
        <f t="array" ref="F196">IFERROR(VLOOKUP(A196,Avaluacio[],COLUMN(Avaluacio[Contingut]),FALSE),"")</f>
        <v>Sí</v>
      </c>
      <c r="G196" s="28" t="str">
        <f t="array" ref="G196">IFERROR(VLOOKUP(A196,Avaluacio[],COLUMN(Avaluacio[Actualització]),FALSE),"")</f>
        <v>Sí</v>
      </c>
      <c r="H196" s="28" t="str">
        <f t="array" ref="H196">IFERROR(VLOOKUP(A196,Avaluacio[#Data],COLUMN(Avaluacio[Grau de compliment]),FALSE),"")</f>
        <v>Compleix totalment</v>
      </c>
    </row>
    <row r="197" spans="1:8" ht="30" customHeight="1" x14ac:dyDescent="0.2">
      <c r="A197" s="28" t="str">
        <f t="array" ref="A197">IFERROR(INDEX(Avaluacio[Codi ítem],(MATCH(0,INDEX(COUNTIF($A$108:A196,Avaluacio[Codi ítem]),0,0)+INDEX(Avaluacio[Avaluable]="No",0,0),0))),"")</f>
        <v>XGO090</v>
      </c>
      <c r="B197" s="61" t="str">
        <f t="array" ref="B197">IFERROR(VLOOKUP(A197,Avaluacio[#Data],COLUMN(Avaluacio[Ítem]),FALSE),"")</f>
        <v>Consultes més freqüents sobre contractació</v>
      </c>
      <c r="C197" s="61"/>
      <c r="D197" s="61"/>
      <c r="E197" s="61"/>
      <c r="F197" s="28" t="str">
        <f t="array" ref="F197">IFERROR(VLOOKUP(A197,Avaluacio[],COLUMN(Avaluacio[Contingut]),FALSE),"")</f>
        <v>Sí</v>
      </c>
      <c r="G197" s="28" t="str">
        <f t="array" ref="G197">IFERROR(VLOOKUP(A197,Avaluacio[],COLUMN(Avaluacio[Actualització]),FALSE),"")</f>
        <v>Sí</v>
      </c>
      <c r="H197" s="28" t="str">
        <f t="array" ref="H197">IFERROR(VLOOKUP(A197,Avaluacio[#Data],COLUMN(Avaluacio[Grau de compliment]),FALSE),"")</f>
        <v>Compleix totalment</v>
      </c>
    </row>
    <row r="198" spans="1:8" ht="30" customHeight="1" x14ac:dyDescent="0.2">
      <c r="A198" s="28" t="str">
        <f t="array" ref="A198">IFERROR(INDEX(Avaluacio[Codi ítem],(MATCH(0,INDEX(COUNTIF($A$108:A197,Avaluacio[Codi ítem]),0,0)+INDEX(Avaluacio[Avaluable]="No",0,0),0))),"")</f>
        <v>XGO091</v>
      </c>
      <c r="B198" s="61" t="str">
        <f t="array" ref="B198">IFERROR(VLOOKUP(A198,Avaluacio[#Data],COLUMN(Avaluacio[Ítem]),FALSE),"")</f>
        <v>Resolucions de recursos, actes de desistiment, renúncia i resolució de contractes</v>
      </c>
      <c r="C198" s="61"/>
      <c r="D198" s="61"/>
      <c r="E198" s="61"/>
      <c r="F198" s="28" t="str">
        <f t="array" ref="F198">IFERROR(VLOOKUP(A198,Avaluacio[],COLUMN(Avaluacio[Contingut]),FALSE),"")</f>
        <v>Sí</v>
      </c>
      <c r="G198" s="28" t="str">
        <f t="array" ref="G198">IFERROR(VLOOKUP(A198,Avaluacio[],COLUMN(Avaluacio[Actualització]),FALSE),"")</f>
        <v>Sí</v>
      </c>
      <c r="H198" s="28" t="str">
        <f t="array" ref="H198">IFERROR(VLOOKUP(A198,Avaluacio[#Data],COLUMN(Avaluacio[Grau de compliment]),FALSE),"")</f>
        <v>Compleix totalment</v>
      </c>
    </row>
    <row r="199" spans="1:8" ht="30" customHeight="1" x14ac:dyDescent="0.2">
      <c r="A199" s="28" t="str">
        <f t="array" ref="A199">IFERROR(INDEX(Avaluacio[Codi ítem],(MATCH(0,INDEX(COUNTIF($A$108:A198,Avaluacio[Codi ítem]),0,0)+INDEX(Avaluacio[Avaluable]="No",0,0),0))),"")</f>
        <v>XGO092</v>
      </c>
      <c r="B199" s="61" t="str">
        <f t="array" ref="B199">IFERROR(VLOOKUP(A199,Avaluacio[#Data],COLUMN(Avaluacio[Ítem]),FALSE),"")</f>
        <v>Informe de contractes adjudicats segons el procediment</v>
      </c>
      <c r="C199" s="61"/>
      <c r="D199" s="61"/>
      <c r="E199" s="61"/>
      <c r="F199" s="28" t="str">
        <f t="array" ref="F199">IFERROR(VLOOKUP(A199,Avaluacio[],COLUMN(Avaluacio[Contingut]),FALSE),"")</f>
        <v>Sí</v>
      </c>
      <c r="G199" s="28" t="str">
        <f t="array" ref="G199">IFERROR(VLOOKUP(A199,Avaluacio[],COLUMN(Avaluacio[Actualització]),FALSE),"")</f>
        <v>Sí</v>
      </c>
      <c r="H199" s="28" t="str">
        <f t="array" ref="H199">IFERROR(VLOOKUP(A199,Avaluacio[#Data],COLUMN(Avaluacio[Grau de compliment]),FALSE),"")</f>
        <v>Compleix totalment</v>
      </c>
    </row>
    <row r="200" spans="1:8" ht="30" customHeight="1" x14ac:dyDescent="0.2">
      <c r="A200" s="28" t="str">
        <f t="array" ref="A200">IFERROR(INDEX(Avaluacio[Codi ítem],(MATCH(0,INDEX(COUNTIF($A$108:A199,Avaluacio[Codi ítem]),0,0)+INDEX(Avaluacio[Avaluable]="No",0,0),0))),"")</f>
        <v>XGO093</v>
      </c>
      <c r="B200" s="61" t="str">
        <f t="array" ref="B200">IFERROR(VLOOKUP(A200,Avaluacio[#Data],COLUMN(Avaluacio[Ítem]),FALSE),"")</f>
        <v>Personal adscrit pels concessionaris i retribucions</v>
      </c>
      <c r="C200" s="61"/>
      <c r="D200" s="61"/>
      <c r="E200" s="61"/>
      <c r="F200" s="28" t="str">
        <f t="array" ref="F200">IFERROR(VLOOKUP(A200,Avaluacio[],COLUMN(Avaluacio[Contingut]),FALSE),"")</f>
        <v>Sí</v>
      </c>
      <c r="G200" s="28" t="str">
        <f t="array" ref="G200">IFERROR(VLOOKUP(A200,Avaluacio[],COLUMN(Avaluacio[Actualització]),FALSE),"")</f>
        <v>Sí</v>
      </c>
      <c r="H200" s="28" t="str">
        <f t="array" ref="H200">IFERROR(VLOOKUP(A200,Avaluacio[#Data],COLUMN(Avaluacio[Grau de compliment]),FALSE),"")</f>
        <v>Compleix totalment</v>
      </c>
    </row>
    <row r="201" spans="1:8" ht="30" customHeight="1" x14ac:dyDescent="0.2">
      <c r="A201" s="28" t="str">
        <f t="array" ref="A201">IFERROR(INDEX(Avaluacio[Codi ítem],(MATCH(0,INDEX(COUNTIF($A$108:A200,Avaluacio[Codi ítem]),0,0)+INDEX(Avaluacio[Avaluable]="No",0,0),0))),"")</f>
        <v>XGO094</v>
      </c>
      <c r="B201" s="61" t="str">
        <f t="array" ref="B201">IFERROR(VLOOKUP(A201,Avaluacio[#Data],COLUMN(Avaluacio[Ítem]),FALSE),"")</f>
        <v>Convenis de col·laboració</v>
      </c>
      <c r="C201" s="61"/>
      <c r="D201" s="61"/>
      <c r="E201" s="61"/>
      <c r="F201" s="28" t="str">
        <f t="array" ref="F201">IFERROR(VLOOKUP(A201,Avaluacio[],COLUMN(Avaluacio[Contingut]),FALSE),"")</f>
        <v>Sí</v>
      </c>
      <c r="G201" s="28" t="str">
        <f t="array" ref="G201">IFERROR(VLOOKUP(A201,Avaluacio[],COLUMN(Avaluacio[Actualització]),FALSE),"")</f>
        <v>Sí</v>
      </c>
      <c r="H201" s="28" t="str">
        <f t="array" ref="H201">IFERROR(VLOOKUP(A201,Avaluacio[#Data],COLUMN(Avaluacio[Grau de compliment]),FALSE),"")</f>
        <v>Compleix totalment</v>
      </c>
    </row>
    <row r="202" spans="1:8" ht="30" customHeight="1" x14ac:dyDescent="0.2">
      <c r="A202" s="28" t="str">
        <f t="array" ref="A202">IFERROR(INDEX(Avaluacio[Codi ítem],(MATCH(0,INDEX(COUNTIF($A$108:A201,Avaluacio[Codi ítem]),0,0)+INDEX(Avaluacio[Avaluable]="No",0,0),0))),"")</f>
        <v>XGO095</v>
      </c>
      <c r="B202" s="61" t="str">
        <f t="array" ref="B202">IFERROR(VLOOKUP(A202,Avaluacio[#Data],COLUMN(Avaluacio[Ítem]),FALSE),"")</f>
        <v>Convenis urbanístics</v>
      </c>
      <c r="C202" s="61"/>
      <c r="D202" s="61"/>
      <c r="E202" s="61"/>
      <c r="F202" s="28" t="str">
        <f t="array" ref="F202">IFERROR(VLOOKUP(A202,Avaluacio[],COLUMN(Avaluacio[Contingut]),FALSE),"")</f>
        <v>Sí</v>
      </c>
      <c r="G202" s="28" t="str">
        <f t="array" ref="G202">IFERROR(VLOOKUP(A202,Avaluacio[],COLUMN(Avaluacio[Actualització]),FALSE),"")</f>
        <v>Sí</v>
      </c>
      <c r="H202" s="28" t="str">
        <f t="array" ref="H202">IFERROR(VLOOKUP(A202,Avaluacio[#Data],COLUMN(Avaluacio[Grau de compliment]),FALSE),"")</f>
        <v>Compleix totalment</v>
      </c>
    </row>
    <row r="203" spans="1:8" ht="30" customHeight="1" x14ac:dyDescent="0.2">
      <c r="A203" s="28" t="str">
        <f t="array" ref="A203">IFERROR(INDEX(Avaluacio[Codi ítem],(MATCH(0,INDEX(COUNTIF($A$108:A202,Avaluacio[Codi ítem]),0,0)+INDEX(Avaluacio[Avaluable]="No",0,0),0))),"")</f>
        <v>XGO096</v>
      </c>
      <c r="B203" s="61" t="str">
        <f t="array" ref="B203">IFERROR(VLOOKUP(A203,Avaluacio[#Data],COLUMN(Avaluacio[Ítem]),FALSE),"")</f>
        <v>Informació de l'execució dels convenis</v>
      </c>
      <c r="C203" s="61"/>
      <c r="D203" s="61"/>
      <c r="E203" s="61"/>
      <c r="F203" s="28" t="str">
        <f t="array" ref="F203">IFERROR(VLOOKUP(A203,Avaluacio[],COLUMN(Avaluacio[Contingut]),FALSE),"")</f>
        <v>Sí</v>
      </c>
      <c r="G203" s="28" t="str">
        <f t="array" ref="G203">IFERROR(VLOOKUP(A203,Avaluacio[],COLUMN(Avaluacio[Actualització]),FALSE),"")</f>
        <v>Sí</v>
      </c>
      <c r="H203" s="28" t="str">
        <f t="array" ref="H203">IFERROR(VLOOKUP(A203,Avaluacio[#Data],COLUMN(Avaluacio[Grau de compliment]),FALSE),"")</f>
        <v>Compleix totalment</v>
      </c>
    </row>
    <row r="204" spans="1:8" ht="30" customHeight="1" x14ac:dyDescent="0.2">
      <c r="A204" s="28" t="str">
        <f t="array" ref="A204">IFERROR(INDEX(Avaluacio[Codi ítem],(MATCH(0,INDEX(COUNTIF($A$108:A203,Avaluacio[Codi ítem]),0,0)+INDEX(Avaluacio[Avaluable]="No",0,0),0))),"")</f>
        <v>XGO097</v>
      </c>
      <c r="B204" s="61" t="str">
        <f t="array" ref="B204">IFERROR(VLOOKUP(A204,Avaluacio[#Data],COLUMN(Avaluacio[Ítem]),FALSE),"")</f>
        <v>Convocatòries de subvencions i ajuts</v>
      </c>
      <c r="C204" s="61"/>
      <c r="D204" s="61"/>
      <c r="E204" s="61"/>
      <c r="F204" s="28" t="str">
        <f t="array" ref="F204">IFERROR(VLOOKUP(A204,Avaluacio[],COLUMN(Avaluacio[Contingut]),FALSE),"")</f>
        <v>Sí</v>
      </c>
      <c r="G204" s="28" t="str">
        <f t="array" ref="G204">IFERROR(VLOOKUP(A204,Avaluacio[],COLUMN(Avaluacio[Actualització]),FALSE),"")</f>
        <v>Sí</v>
      </c>
      <c r="H204" s="28" t="str">
        <f t="array" ref="H204">IFERROR(VLOOKUP(A204,Avaluacio[#Data],COLUMN(Avaluacio[Grau de compliment]),FALSE),"")</f>
        <v>Compleix totalment</v>
      </c>
    </row>
    <row r="205" spans="1:8" ht="30" customHeight="1" x14ac:dyDescent="0.2">
      <c r="A205" s="28" t="str">
        <f t="array" ref="A205">IFERROR(INDEX(Avaluacio[Codi ítem],(MATCH(0,INDEX(COUNTIF($A$108:A204,Avaluacio[Codi ítem]),0,0)+INDEX(Avaluacio[Avaluable]="No",0,0),0))),"")</f>
        <v>XGO098</v>
      </c>
      <c r="B205" s="61" t="str">
        <f t="array" ref="B205">IFERROR(VLOOKUP(A205,Avaluacio[#Data],COLUMN(Avaluacio[Ítem]),FALSE),"")</f>
        <v>Subvencions atorgades</v>
      </c>
      <c r="C205" s="61"/>
      <c r="D205" s="61"/>
      <c r="E205" s="61"/>
      <c r="F205" s="28" t="str">
        <f t="array" ref="F205">IFERROR(VLOOKUP(A205,Avaluacio[],COLUMN(Avaluacio[Contingut]),FALSE),"")</f>
        <v>No</v>
      </c>
      <c r="G205" s="28" t="str">
        <f t="array" ref="G205">IFERROR(VLOOKUP(A205,Avaluacio[],COLUMN(Avaluacio[Actualització]),FALSE),"")</f>
        <v>No</v>
      </c>
      <c r="H205" s="28" t="str">
        <f t="array" ref="H205">IFERROR(VLOOKUP(A205,Avaluacio[#Data],COLUMN(Avaluacio[Grau de compliment]),FALSE),"")</f>
        <v>No compleix</v>
      </c>
    </row>
    <row r="206" spans="1:8" ht="30" customHeight="1" x14ac:dyDescent="0.2">
      <c r="A206" s="28" t="str">
        <f t="array" ref="A206">IFERROR(INDEX(Avaluacio[Codi ítem],(MATCH(0,INDEX(COUNTIF($A$108:A205,Avaluacio[Codi ítem]),0,0)+INDEX(Avaluacio[Avaluable]="No",0,0),0))),"")</f>
        <v>XGO099</v>
      </c>
      <c r="B206" s="61" t="str">
        <f t="array" ref="B206">IFERROR(VLOOKUP(A206,Avaluacio[#Data],COLUMN(Avaluacio[Ítem]),FALSE),"")</f>
        <v>Ajuts atorgats</v>
      </c>
      <c r="C206" s="61"/>
      <c r="D206" s="61"/>
      <c r="E206" s="61"/>
      <c r="F206" s="28" t="str">
        <f t="array" ref="F206">IFERROR(VLOOKUP(A206,Avaluacio[],COLUMN(Avaluacio[Contingut]),FALSE),"")</f>
        <v>No</v>
      </c>
      <c r="G206" s="28" t="str">
        <f t="array" ref="G206">IFERROR(VLOOKUP(A206,Avaluacio[],COLUMN(Avaluacio[Actualització]),FALSE),"")</f>
        <v>No</v>
      </c>
      <c r="H206" s="28" t="str">
        <f t="array" ref="H206">IFERROR(VLOOKUP(A206,Avaluacio[#Data],COLUMN(Avaluacio[Grau de compliment]),FALSE),"")</f>
        <v>No compleix</v>
      </c>
    </row>
    <row r="207" spans="1:8" ht="30" customHeight="1" x14ac:dyDescent="0.2">
      <c r="A207" s="28" t="str">
        <f t="array" ref="A207">IFERROR(INDEX(Avaluacio[Codi ítem],(MATCH(0,INDEX(COUNTIF($A$108:A206,Avaluacio[Codi ítem]),0,0)+INDEX(Avaluacio[Avaluable]="No",0,0),0))),"")</f>
        <v>XGO100</v>
      </c>
      <c r="B207" s="61" t="str">
        <f t="array" ref="B207">IFERROR(VLOOKUP(A207,Avaluacio[#Data],COLUMN(Avaluacio[Ítem]),FALSE),"")</f>
        <v>Retribució dels directius beneficiaris de subvencions</v>
      </c>
      <c r="C207" s="61"/>
      <c r="D207" s="61"/>
      <c r="E207" s="61"/>
      <c r="F207" s="28" t="str">
        <f t="array" ref="F207">IFERROR(VLOOKUP(A207,Avaluacio[],COLUMN(Avaluacio[Contingut]),FALSE),"")</f>
        <v>Sí</v>
      </c>
      <c r="G207" s="28" t="str">
        <f t="array" ref="G207">IFERROR(VLOOKUP(A207,Avaluacio[],COLUMN(Avaluacio[Actualització]),FALSE),"")</f>
        <v>Sí</v>
      </c>
      <c r="H207" s="28" t="str">
        <f t="array" ref="H207">IFERROR(VLOOKUP(A207,Avaluacio[#Data],COLUMN(Avaluacio[Grau de compliment]),FALSE),"")</f>
        <v>Compleix totalment</v>
      </c>
    </row>
    <row r="208" spans="1:8" ht="30" customHeight="1" x14ac:dyDescent="0.2">
      <c r="A208" s="28" t="str">
        <f t="array" ref="A208">IFERROR(INDEX(Avaluacio[Codi ítem],(MATCH(0,INDEX(COUNTIF($A$108:A207,Avaluacio[Codi ítem]),0,0)+INDEX(Avaluacio[Avaluable]="No",0,0),0))),"")</f>
        <v>XGO101</v>
      </c>
      <c r="B208" s="61" t="str">
        <f t="array" ref="B208">IFERROR(VLOOKUP(A208,Avaluacio[#Data],COLUMN(Avaluacio[Ítem]),FALSE),"")</f>
        <v>Pressupost</v>
      </c>
      <c r="C208" s="61"/>
      <c r="D208" s="61"/>
      <c r="E208" s="61"/>
      <c r="F208" s="28" t="str">
        <f t="array" ref="F208">IFERROR(VLOOKUP(A208,Avaluacio[],COLUMN(Avaluacio[Contingut]),FALSE),"")</f>
        <v>Sí</v>
      </c>
      <c r="G208" s="28" t="str">
        <f t="array" ref="G208">IFERROR(VLOOKUP(A208,Avaluacio[],COLUMN(Avaluacio[Actualització]),FALSE),"")</f>
        <v>Sí</v>
      </c>
      <c r="H208" s="28" t="str">
        <f t="array" ref="H208">IFERROR(VLOOKUP(A208,Avaluacio[#Data],COLUMN(Avaluacio[Grau de compliment]),FALSE),"")</f>
        <v>Compleix totalment</v>
      </c>
    </row>
    <row r="209" spans="1:8" ht="30" customHeight="1" x14ac:dyDescent="0.2">
      <c r="A209" s="28" t="str">
        <f t="array" ref="A209">IFERROR(INDEX(Avaluacio[Codi ítem],(MATCH(0,INDEX(COUNTIF($A$108:A208,Avaluacio[Codi ítem]),0,0)+INDEX(Avaluacio[Avaluable]="No",0,0),0))),"")</f>
        <v>XGO102</v>
      </c>
      <c r="B209" s="61" t="str">
        <f t="array" ref="B209">IFERROR(VLOOKUP(A209,Avaluacio[#Data],COLUMN(Avaluacio[Ítem]),FALSE),"")</f>
        <v>Execució pressupostària trimestral</v>
      </c>
      <c r="C209" s="61"/>
      <c r="D209" s="61"/>
      <c r="E209" s="61"/>
      <c r="F209" s="28" t="str">
        <f t="array" ref="F209">IFERROR(VLOOKUP(A209,Avaluacio[],COLUMN(Avaluacio[Contingut]),FALSE),"")</f>
        <v>Sí</v>
      </c>
      <c r="G209" s="28" t="str">
        <f t="array" ref="G209">IFERROR(VLOOKUP(A209,Avaluacio[],COLUMN(Avaluacio[Actualització]),FALSE),"")</f>
        <v>Sí</v>
      </c>
      <c r="H209" s="28" t="str">
        <f t="array" ref="H209">IFERROR(VLOOKUP(A209,Avaluacio[#Data],COLUMN(Avaluacio[Grau de compliment]),FALSE),"")</f>
        <v>Compleix totalment</v>
      </c>
    </row>
    <row r="210" spans="1:8" ht="30" customHeight="1" x14ac:dyDescent="0.2">
      <c r="A210" s="28" t="str">
        <f t="array" ref="A210">IFERROR(INDEX(Avaluacio[Codi ítem],(MATCH(0,INDEX(COUNTIF($A$108:A209,Avaluacio[Codi ítem]),0,0)+INDEX(Avaluacio[Avaluable]="No",0,0),0))),"")</f>
        <v>XGO103</v>
      </c>
      <c r="B210" s="61" t="str">
        <f t="array" ref="B210">IFERROR(VLOOKUP(A210,Avaluacio[#Data],COLUMN(Avaluacio[Ítem]),FALSE),"")</f>
        <v>Liquidació del pressupost</v>
      </c>
      <c r="C210" s="61"/>
      <c r="D210" s="61"/>
      <c r="E210" s="61"/>
      <c r="F210" s="28" t="str">
        <f t="array" ref="F210">IFERROR(VLOOKUP(A210,Avaluacio[],COLUMN(Avaluacio[Contingut]),FALSE),"")</f>
        <v>Sí</v>
      </c>
      <c r="G210" s="28" t="str">
        <f t="array" ref="G210">IFERROR(VLOOKUP(A210,Avaluacio[],COLUMN(Avaluacio[Actualització]),FALSE),"")</f>
        <v>Sí</v>
      </c>
      <c r="H210" s="28" t="str">
        <f t="array" ref="H210">IFERROR(VLOOKUP(A210,Avaluacio[#Data],COLUMN(Avaluacio[Grau de compliment]),FALSE),"")</f>
        <v>Compleix totalment</v>
      </c>
    </row>
    <row r="211" spans="1:8" ht="30" customHeight="1" x14ac:dyDescent="0.2">
      <c r="A211" s="28" t="str">
        <f t="array" ref="A211">IFERROR(INDEX(Avaluacio[Codi ítem],(MATCH(0,INDEX(COUNTIF($A$108:A210,Avaluacio[Codi ítem]),0,0)+INDEX(Avaluacio[Avaluable]="No",0,0),0))),"")</f>
        <v>XGO104</v>
      </c>
      <c r="B211" s="61" t="str">
        <f t="array" ref="B211">IFERROR(VLOOKUP(A211,Avaluacio[#Data],COLUMN(Avaluacio[Ítem]),FALSE),"")</f>
        <v>Compte general</v>
      </c>
      <c r="C211" s="61"/>
      <c r="D211" s="61"/>
      <c r="E211" s="61"/>
      <c r="F211" s="28" t="str">
        <f t="array" ref="F211">IFERROR(VLOOKUP(A211,Avaluacio[],COLUMN(Avaluacio[Contingut]),FALSE),"")</f>
        <v>Sí</v>
      </c>
      <c r="G211" s="28" t="str">
        <f t="array" ref="G211">IFERROR(VLOOKUP(A211,Avaluacio[],COLUMN(Avaluacio[Actualització]),FALSE),"")</f>
        <v>Sí</v>
      </c>
      <c r="H211" s="28" t="str">
        <f t="array" ref="H211">IFERROR(VLOOKUP(A211,Avaluacio[#Data],COLUMN(Avaluacio[Grau de compliment]),FALSE),"")</f>
        <v>Compleix totalment</v>
      </c>
    </row>
    <row r="212" spans="1:8" ht="30" customHeight="1" x14ac:dyDescent="0.2">
      <c r="A212" s="28" t="str">
        <f t="array" ref="A212">IFERROR(INDEX(Avaluacio[Codi ítem],(MATCH(0,INDEX(COUNTIF($A$108:A211,Avaluacio[Codi ítem]),0,0)+INDEX(Avaluacio[Avaluable]="No",0,0),0))),"")</f>
        <v>XGO105</v>
      </c>
      <c r="B212" s="61" t="str">
        <f t="array" ref="B212">IFERROR(VLOOKUP(A212,Avaluacio[#Data],COLUMN(Avaluacio[Ítem]),FALSE),"")</f>
        <v>Modificació de pressupostos</v>
      </c>
      <c r="C212" s="61"/>
      <c r="D212" s="61"/>
      <c r="E212" s="61"/>
      <c r="F212" s="28" t="str">
        <f t="array" ref="F212">IFERROR(VLOOKUP(A212,Avaluacio[],COLUMN(Avaluacio[Contingut]),FALSE),"")</f>
        <v>Sí</v>
      </c>
      <c r="G212" s="28" t="str">
        <f t="array" ref="G212">IFERROR(VLOOKUP(A212,Avaluacio[],COLUMN(Avaluacio[Actualització]),FALSE),"")</f>
        <v>Sí</v>
      </c>
      <c r="H212" s="28" t="str">
        <f t="array" ref="H212">IFERROR(VLOOKUP(A212,Avaluacio[#Data],COLUMN(Avaluacio[Grau de compliment]),FALSE),"")</f>
        <v>Compleix totalment</v>
      </c>
    </row>
    <row r="213" spans="1:8" ht="30" customHeight="1" x14ac:dyDescent="0.2">
      <c r="A213" s="28" t="str">
        <f t="array" ref="A213">IFERROR(INDEX(Avaluacio[Codi ítem],(MATCH(0,INDEX(COUNTIF($A$108:A212,Avaluacio[Codi ítem]),0,0)+INDEX(Avaluacio[Avaluable]="No",0,0),0))),"")</f>
        <v>XGO106</v>
      </c>
      <c r="B213" s="61" t="str">
        <f t="array" ref="B213">IFERROR(VLOOKUP(A213,Avaluacio[#Data],COLUMN(Avaluacio[Ítem]),FALSE),"")</f>
        <v>Compliment dels objectius d’estabilitat pressupostària</v>
      </c>
      <c r="C213" s="61"/>
      <c r="D213" s="61"/>
      <c r="E213" s="61"/>
      <c r="F213" s="28" t="str">
        <f t="array" ref="F213">IFERROR(VLOOKUP(A213,Avaluacio[],COLUMN(Avaluacio[Contingut]),FALSE),"")</f>
        <v>Sí</v>
      </c>
      <c r="G213" s="28" t="str">
        <f t="array" ref="G213">IFERROR(VLOOKUP(A213,Avaluacio[],COLUMN(Avaluacio[Actualització]),FALSE),"")</f>
        <v>Sí</v>
      </c>
      <c r="H213" s="28" t="str">
        <f t="array" ref="H213">IFERROR(VLOOKUP(A213,Avaluacio[#Data],COLUMN(Avaluacio[Grau de compliment]),FALSE),"")</f>
        <v>Compleix totalment</v>
      </c>
    </row>
    <row r="214" spans="1:8" ht="30" customHeight="1" x14ac:dyDescent="0.2">
      <c r="A214" s="28" t="str">
        <f t="array" ref="A214">IFERROR(INDEX(Avaluacio[Codi ítem],(MATCH(0,INDEX(COUNTIF($A$108:A213,Avaluacio[Codi ítem]),0,0)+INDEX(Avaluacio[Avaluable]="No",0,0),0))),"")</f>
        <v>XGO107</v>
      </c>
      <c r="B214" s="61" t="str">
        <f t="array" ref="B214">IFERROR(VLOOKUP(A214,Avaluacio[#Data],COLUMN(Avaluacio[Ítem]),FALSE),"")</f>
        <v>Informació de les campanyes institucionals</v>
      </c>
      <c r="C214" s="61"/>
      <c r="D214" s="61"/>
      <c r="E214" s="61"/>
      <c r="F214" s="28" t="str">
        <f t="array" ref="F214">IFERROR(VLOOKUP(A214,Avaluacio[],COLUMN(Avaluacio[Contingut]),FALSE),"")</f>
        <v>Sí</v>
      </c>
      <c r="G214" s="28" t="str">
        <f t="array" ref="G214">IFERROR(VLOOKUP(A214,Avaluacio[],COLUMN(Avaluacio[Actualització]),FALSE),"")</f>
        <v>Sí</v>
      </c>
      <c r="H214" s="28" t="str">
        <f t="array" ref="H214">IFERROR(VLOOKUP(A214,Avaluacio[#Data],COLUMN(Avaluacio[Grau de compliment]),FALSE),"")</f>
        <v>Compleix totalment</v>
      </c>
    </row>
    <row r="215" spans="1:8" ht="30" customHeight="1" x14ac:dyDescent="0.2">
      <c r="A215" s="28" t="str">
        <f t="array" ref="A215">IFERROR(INDEX(Avaluacio[Codi ítem],(MATCH(0,INDEX(COUNTIF($A$108:A214,Avaluacio[Codi ítem]),0,0)+INDEX(Avaluacio[Avaluable]="No",0,0),0))),"")</f>
        <v>XGO108</v>
      </c>
      <c r="B215" s="61" t="str">
        <f t="array" ref="B215">IFERROR(VLOOKUP(A215,Avaluacio[#Data],COLUMN(Avaluacio[Ítem]),FALSE),"")</f>
        <v>Endeutament</v>
      </c>
      <c r="C215" s="61"/>
      <c r="D215" s="61"/>
      <c r="E215" s="61"/>
      <c r="F215" s="28" t="str">
        <f t="array" ref="F215">IFERROR(VLOOKUP(A215,Avaluacio[],COLUMN(Avaluacio[Contingut]),FALSE),"")</f>
        <v>Sí</v>
      </c>
      <c r="G215" s="28" t="str">
        <f t="array" ref="G215">IFERROR(VLOOKUP(A215,Avaluacio[],COLUMN(Avaluacio[Actualització]),FALSE),"")</f>
        <v>Sí</v>
      </c>
      <c r="H215" s="28" t="str">
        <f t="array" ref="H215">IFERROR(VLOOKUP(A215,Avaluacio[#Data],COLUMN(Avaluacio[Grau de compliment]),FALSE),"")</f>
        <v>Compleix totalment</v>
      </c>
    </row>
    <row r="216" spans="1:8" ht="30" customHeight="1" x14ac:dyDescent="0.2">
      <c r="A216" s="28" t="str">
        <f t="array" ref="A216">IFERROR(INDEX(Avaluacio[Codi ítem],(MATCH(0,INDEX(COUNTIF($A$108:A215,Avaluacio[Codi ítem]),0,0)+INDEX(Avaluacio[Avaluable]="No",0,0),0))),"")</f>
        <v>XGO109</v>
      </c>
      <c r="B216" s="61" t="str">
        <f t="array" ref="B216">IFERROR(VLOOKUP(A216,Avaluacio[#Data],COLUMN(Avaluacio[Ítem]),FALSE),"")</f>
        <v>Període mitjà de Pagament a Proveïdors (PMP)</v>
      </c>
      <c r="C216" s="61"/>
      <c r="D216" s="61"/>
      <c r="E216" s="61"/>
      <c r="F216" s="28" t="str">
        <f t="array" ref="F216">IFERROR(VLOOKUP(A216,Avaluacio[],COLUMN(Avaluacio[Contingut]),FALSE),"")</f>
        <v>Sí</v>
      </c>
      <c r="G216" s="28" t="str">
        <f t="array" ref="G216">IFERROR(VLOOKUP(A216,Avaluacio[],COLUMN(Avaluacio[Actualització]),FALSE),"")</f>
        <v>Sí</v>
      </c>
      <c r="H216" s="28" t="str">
        <f t="array" ref="H216">IFERROR(VLOOKUP(A216,Avaluacio[#Data],COLUMN(Avaluacio[Grau de compliment]),FALSE),"")</f>
        <v>Compleix totalment</v>
      </c>
    </row>
    <row r="217" spans="1:8" ht="30" customHeight="1" x14ac:dyDescent="0.2">
      <c r="A217" s="28" t="str">
        <f t="array" ref="A217">IFERROR(INDEX(Avaluacio[Codi ítem],(MATCH(0,INDEX(COUNTIF($A$108:A216,Avaluacio[Codi ítem]),0,0)+INDEX(Avaluacio[Avaluable]="No",0,0),0))),"")</f>
        <v>XGO110</v>
      </c>
      <c r="B217" s="61" t="str">
        <f t="array" ref="B217">IFERROR(VLOOKUP(A217,Avaluacio[#Data],COLUMN(Avaluacio[Ítem]),FALSE),"")</f>
        <v>Auditories de comptes</v>
      </c>
      <c r="C217" s="61"/>
      <c r="D217" s="61"/>
      <c r="E217" s="61"/>
      <c r="F217" s="28" t="str">
        <f t="array" ref="F217">IFERROR(VLOOKUP(A217,Avaluacio[],COLUMN(Avaluacio[Contingut]),FALSE),"")</f>
        <v>Sí</v>
      </c>
      <c r="G217" s="28" t="str">
        <f t="array" ref="G217">IFERROR(VLOOKUP(A217,Avaluacio[],COLUMN(Avaluacio[Actualització]),FALSE),"")</f>
        <v>Sí</v>
      </c>
      <c r="H217" s="28" t="str">
        <f t="array" ref="H217">IFERROR(VLOOKUP(A217,Avaluacio[#Data],COLUMN(Avaluacio[Grau de compliment]),FALSE),"")</f>
        <v>Compleix totalment</v>
      </c>
    </row>
    <row r="218" spans="1:8" ht="30" customHeight="1" x14ac:dyDescent="0.2">
      <c r="A218" s="28" t="str">
        <f t="array" ref="A218">IFERROR(INDEX(Avaluacio[Codi ítem],(MATCH(0,INDEX(COUNTIF($A$108:A217,Avaluacio[Codi ítem]),0,0)+INDEX(Avaluacio[Avaluable]="No",0,0),0))),"")</f>
        <v>XGO111</v>
      </c>
      <c r="B218" s="61" t="str">
        <f t="array" ref="B218">IFERROR(VLOOKUP(A218,Avaluacio[#Data],COLUMN(Avaluacio[Ítem]),FALSE),"")</f>
        <v>Indicadors de gestió econòmica</v>
      </c>
      <c r="C218" s="61"/>
      <c r="D218" s="61"/>
      <c r="E218" s="61"/>
      <c r="F218" s="28" t="str">
        <f t="array" ref="F218">IFERROR(VLOOKUP(A218,Avaluacio[],COLUMN(Avaluacio[Contingut]),FALSE),"")</f>
        <v>Sí</v>
      </c>
      <c r="G218" s="28" t="str">
        <f t="array" ref="G218">IFERROR(VLOOKUP(A218,Avaluacio[],COLUMN(Avaluacio[Actualització]),FALSE),"")</f>
        <v>Sí</v>
      </c>
      <c r="H218" s="28" t="str">
        <f t="array" ref="H218">IFERROR(VLOOKUP(A218,Avaluacio[#Data],COLUMN(Avaluacio[Grau de compliment]),FALSE),"")</f>
        <v>Compleix totalment</v>
      </c>
    </row>
    <row r="219" spans="1:8" ht="30" customHeight="1" x14ac:dyDescent="0.2">
      <c r="A219" s="28" t="str">
        <f t="array" ref="A219">IFERROR(INDEX(Avaluacio[Codi ítem],(MATCH(0,INDEX(COUNTIF($A$108:A218,Avaluacio[Codi ítem]),0,0)+INDEX(Avaluacio[Avaluable]="No",0,0),0))),"")</f>
        <v>XGO112</v>
      </c>
      <c r="B219" s="61" t="str">
        <f t="array" ref="B219">IFERROR(VLOOKUP(A219,Avaluacio[#Data],COLUMN(Avaluacio[Ítem]),FALSE),"")</f>
        <v>Cost efectiu dels serveis</v>
      </c>
      <c r="C219" s="61"/>
      <c r="D219" s="61"/>
      <c r="E219" s="61"/>
      <c r="F219" s="28" t="str">
        <f t="array" ref="F219">IFERROR(VLOOKUP(A219,Avaluacio[],COLUMN(Avaluacio[Contingut]),FALSE),"")</f>
        <v>Sí</v>
      </c>
      <c r="G219" s="28" t="str">
        <f t="array" ref="G219">IFERROR(VLOOKUP(A219,Avaluacio[],COLUMN(Avaluacio[Actualització]),FALSE),"")</f>
        <v>Sí</v>
      </c>
      <c r="H219" s="28" t="str">
        <f t="array" ref="H219">IFERROR(VLOOKUP(A219,Avaluacio[#Data],COLUMN(Avaluacio[Grau de compliment]),FALSE),"")</f>
        <v>Compleix totalment</v>
      </c>
    </row>
    <row r="220" spans="1:8" ht="30" customHeight="1" x14ac:dyDescent="0.2">
      <c r="A220" s="28" t="str">
        <f t="array" ref="A220">IFERROR(INDEX(Avaluacio[Codi ítem],(MATCH(0,INDEX(COUNTIF($A$108:A219,Avaluacio[Codi ítem]),0,0)+INDEX(Avaluacio[Avaluable]="No",0,0),0))),"")</f>
        <v>XGO113</v>
      </c>
      <c r="B220" s="61" t="str">
        <f t="array" ref="B220">IFERROR(VLOOKUP(A220,Avaluacio[#Data],COLUMN(Avaluacio[Ítem]),FALSE),"")</f>
        <v>Pla anual de control financer</v>
      </c>
      <c r="C220" s="61"/>
      <c r="D220" s="61"/>
      <c r="E220" s="61"/>
      <c r="F220" s="28" t="str">
        <f t="array" ref="F220">IFERROR(VLOOKUP(A220,Avaluacio[],COLUMN(Avaluacio[Contingut]),FALSE),"")</f>
        <v>Sí</v>
      </c>
      <c r="G220" s="28" t="str">
        <f t="array" ref="G220">IFERROR(VLOOKUP(A220,Avaluacio[],COLUMN(Avaluacio[Actualització]),FALSE),"")</f>
        <v>Sí</v>
      </c>
      <c r="H220" s="28" t="str">
        <f t="array" ref="H220">IFERROR(VLOOKUP(A220,Avaluacio[#Data],COLUMN(Avaluacio[Grau de compliment]),FALSE),"")</f>
        <v>Compleix totalment</v>
      </c>
    </row>
    <row r="221" spans="1:8" ht="30" customHeight="1" x14ac:dyDescent="0.2">
      <c r="A221" s="28" t="str">
        <f t="array" ref="A221">IFERROR(INDEX(Avaluacio[Codi ítem],(MATCH(0,INDEX(COUNTIF($A$108:A220,Avaluacio[Codi ítem]),0,0)+INDEX(Avaluacio[Avaluable]="No",0,0),0))),"")</f>
        <v>XGO114</v>
      </c>
      <c r="B221" s="61" t="str">
        <f t="array" ref="B221">IFERROR(VLOOKUP(A221,Avaluacio[#Data],COLUMN(Avaluacio[Ítem]),FALSE),"")</f>
        <v>Inventari general del patrimoni</v>
      </c>
      <c r="C221" s="61"/>
      <c r="D221" s="61"/>
      <c r="E221" s="61"/>
      <c r="F221" s="28" t="str">
        <f t="array" ref="F221">IFERROR(VLOOKUP(A221,Avaluacio[],COLUMN(Avaluacio[Contingut]),FALSE),"")</f>
        <v>No</v>
      </c>
      <c r="G221" s="28" t="str">
        <f t="array" ref="G221">IFERROR(VLOOKUP(A221,Avaluacio[],COLUMN(Avaluacio[Actualització]),FALSE),"")</f>
        <v>No</v>
      </c>
      <c r="H221" s="28" t="str">
        <f t="array" ref="H221">IFERROR(VLOOKUP(A221,Avaluacio[#Data],COLUMN(Avaluacio[Grau de compliment]),FALSE),"")</f>
        <v>No compleix</v>
      </c>
    </row>
    <row r="222" spans="1:8" ht="30" customHeight="1" x14ac:dyDescent="0.2">
      <c r="A222" s="28" t="str">
        <f t="array" ref="A222">IFERROR(INDEX(Avaluacio[Codi ítem],(MATCH(0,INDEX(COUNTIF($A$108:A221,Avaluacio[Codi ítem]),0,0)+INDEX(Avaluacio[Avaluable]="No",0,0),0))),"")</f>
        <v>XGO115</v>
      </c>
      <c r="B222" s="61" t="str">
        <f t="array" ref="B222">IFERROR(VLOOKUP(A222,Avaluacio[#Data],COLUMN(Avaluacio[Ítem]),FALSE),"")</f>
        <v>Inventari de béns mobles de valor històric i artístic</v>
      </c>
      <c r="C222" s="61"/>
      <c r="D222" s="61"/>
      <c r="E222" s="61"/>
      <c r="F222" s="28" t="str">
        <f t="array" ref="F222">IFERROR(VLOOKUP(A222,Avaluacio[],COLUMN(Avaluacio[Contingut]),FALSE),"")</f>
        <v>No</v>
      </c>
      <c r="G222" s="28" t="str">
        <f t="array" ref="G222">IFERROR(VLOOKUP(A222,Avaluacio[],COLUMN(Avaluacio[Actualització]),FALSE),"")</f>
        <v>No</v>
      </c>
      <c r="H222" s="28" t="str">
        <f t="array" ref="H222">IFERROR(VLOOKUP(A222,Avaluacio[#Data],COLUMN(Avaluacio[Grau de compliment]),FALSE),"")</f>
        <v>No compleix</v>
      </c>
    </row>
    <row r="223" spans="1:8" ht="30" customHeight="1" x14ac:dyDescent="0.2">
      <c r="A223" s="28" t="str">
        <f t="array" ref="A223">IFERROR(INDEX(Avaluacio[Codi ítem],(MATCH(0,INDEX(COUNTIF($A$108:A222,Avaluacio[Codi ítem]),0,0)+INDEX(Avaluacio[Avaluable]="No",0,0),0))),"")</f>
        <v>XGO116</v>
      </c>
      <c r="B223" s="61" t="str">
        <f t="array" ref="B223">IFERROR(VLOOKUP(A223,Avaluacio[#Data],COLUMN(Avaluacio[Ítem]),FALSE),"")</f>
        <v>Inventari de vehicles oficials</v>
      </c>
      <c r="C223" s="61"/>
      <c r="D223" s="61"/>
      <c r="E223" s="61"/>
      <c r="F223" s="28" t="str">
        <f t="array" ref="F223">IFERROR(VLOOKUP(A223,Avaluacio[],COLUMN(Avaluacio[Contingut]),FALSE),"")</f>
        <v>Sí</v>
      </c>
      <c r="G223" s="28" t="str">
        <f t="array" ref="G223">IFERROR(VLOOKUP(A223,Avaluacio[],COLUMN(Avaluacio[Actualització]),FALSE),"")</f>
        <v>Sí</v>
      </c>
      <c r="H223" s="28" t="str">
        <f t="array" ref="H223">IFERROR(VLOOKUP(A223,Avaluacio[#Data],COLUMN(Avaluacio[Grau de compliment]),FALSE),"")</f>
        <v>Compleix totalment</v>
      </c>
    </row>
    <row r="224" spans="1:8" ht="30" customHeight="1" x14ac:dyDescent="0.2">
      <c r="A224" s="28" t="str">
        <f t="array" ref="A224">IFERROR(INDEX(Avaluacio[Codi ítem],(MATCH(0,INDEX(COUNTIF($A$108:A223,Avaluacio[Codi ítem]),0,0)+INDEX(Avaluacio[Avaluable]="No",0,0),0))),"")</f>
        <v>XGO117</v>
      </c>
      <c r="B224" s="61" t="str">
        <f t="array" ref="B224">IFERROR(VLOOKUP(A224,Avaluacio[#Data],COLUMN(Avaluacio[Ítem]),FALSE),"")</f>
        <v>Informació relativa a la gestió del patrimoni</v>
      </c>
      <c r="C224" s="61"/>
      <c r="D224" s="61"/>
      <c r="E224" s="61"/>
      <c r="F224" s="28" t="str">
        <f t="array" ref="F224">IFERROR(VLOOKUP(A224,Avaluacio[],COLUMN(Avaluacio[Contingut]),FALSE),"")</f>
        <v>Sí</v>
      </c>
      <c r="G224" s="28" t="str">
        <f t="array" ref="G224">IFERROR(VLOOKUP(A224,Avaluacio[],COLUMN(Avaluacio[Actualització]),FALSE),"")</f>
        <v>Sí</v>
      </c>
      <c r="H224" s="28" t="str">
        <f t="array" ref="H224">IFERROR(VLOOKUP(A224,Avaluacio[#Data],COLUMN(Avaluacio[Grau de compliment]),FALSE),"")</f>
        <v>Compleix totalment</v>
      </c>
    </row>
    <row r="225" spans="1:8" ht="30" customHeight="1" x14ac:dyDescent="0.2">
      <c r="A225" s="28" t="str">
        <f t="array" ref="A225">IFERROR(INDEX(Avaluacio[Codi ítem],(MATCH(0,INDEX(COUNTIF($A$108:A224,Avaluacio[Codi ítem]),0,0)+INDEX(Avaluacio[Avaluable]="No",0,0),0))),"")</f>
        <v>XGO118</v>
      </c>
      <c r="B225" s="61" t="str">
        <f t="array" ref="B225">IFERROR(VLOOKUP(A225,Avaluacio[#Data],COLUMN(Avaluacio[Ítem]),FALSE),"")</f>
        <v>Incidències de serveis</v>
      </c>
      <c r="C225" s="61"/>
      <c r="D225" s="61"/>
      <c r="E225" s="61"/>
      <c r="F225" s="28" t="str">
        <f t="array" ref="F225">IFERROR(VLOOKUP(A225,Avaluacio[],COLUMN(Avaluacio[Contingut]),FALSE),"")</f>
        <v>Sí</v>
      </c>
      <c r="G225" s="28" t="str">
        <f t="array" ref="G225">IFERROR(VLOOKUP(A225,Avaluacio[],COLUMN(Avaluacio[Actualització]),FALSE),"")</f>
        <v>Sí</v>
      </c>
      <c r="H225" s="28" t="str">
        <f t="array" ref="H225">IFERROR(VLOOKUP(A225,Avaluacio[#Data],COLUMN(Avaluacio[Grau de compliment]),FALSE),"")</f>
        <v>Compleix totalment</v>
      </c>
    </row>
    <row r="226" spans="1:8" ht="30" customHeight="1" x14ac:dyDescent="0.2">
      <c r="A226" s="28" t="str">
        <f t="array" ref="A226">IFERROR(INDEX(Avaluacio[Codi ítem],(MATCH(0,INDEX(COUNTIF($A$108:A225,Avaluacio[Codi ítem]),0,0)+INDEX(Avaluacio[Avaluable]="No",0,0),0))),"")</f>
        <v>XGO119</v>
      </c>
      <c r="B226" s="61" t="str">
        <f t="array" ref="B226">IFERROR(VLOOKUP(A226,Avaluacio[#Data],COLUMN(Avaluacio[Ítem]),FALSE),"")</f>
        <v>Incidències de trànsit</v>
      </c>
      <c r="C226" s="61"/>
      <c r="D226" s="61"/>
      <c r="E226" s="61"/>
      <c r="F226" s="28" t="str">
        <f t="array" ref="F226">IFERROR(VLOOKUP(A226,Avaluacio[],COLUMN(Avaluacio[Contingut]),FALSE),"")</f>
        <v>Sí</v>
      </c>
      <c r="G226" s="28" t="str">
        <f t="array" ref="G226">IFERROR(VLOOKUP(A226,Avaluacio[],COLUMN(Avaluacio[Actualització]),FALSE),"")</f>
        <v>Sí</v>
      </c>
      <c r="H226" s="28" t="str">
        <f t="array" ref="H226">IFERROR(VLOOKUP(A226,Avaluacio[#Data],COLUMN(Avaluacio[Grau de compliment]),FALSE),"")</f>
        <v>Compleix totalment</v>
      </c>
    </row>
    <row r="227" spans="1:8" ht="30" customHeight="1" x14ac:dyDescent="0.2">
      <c r="A227" s="28" t="str">
        <f t="array" ref="A227">IFERROR(INDEX(Avaluacio[Codi ítem],(MATCH(0,INDEX(COUNTIF($A$108:A226,Avaluacio[Codi ítem]),0,0)+INDEX(Avaluacio[Avaluable]="No",0,0),0))),"")</f>
        <v>XGO120</v>
      </c>
      <c r="B227" s="61" t="str">
        <f t="array" ref="B227">IFERROR(VLOOKUP(A227,Avaluacio[#Data],COLUMN(Avaluacio[Ítem]),FALSE),"")</f>
        <v>Informació de la contaminació de l'aire</v>
      </c>
      <c r="C227" s="61"/>
      <c r="D227" s="61"/>
      <c r="E227" s="61"/>
      <c r="F227" s="28" t="str">
        <f t="array" ref="F227">IFERROR(VLOOKUP(A227,Avaluacio[],COLUMN(Avaluacio[Contingut]),FALSE),"")</f>
        <v>Sí</v>
      </c>
      <c r="G227" s="28" t="str">
        <f t="array" ref="G227">IFERROR(VLOOKUP(A227,Avaluacio[],COLUMN(Avaluacio[Actualització]),FALSE),"")</f>
        <v>Sí</v>
      </c>
      <c r="H227" s="28" t="str">
        <f t="array" ref="H227">IFERROR(VLOOKUP(A227,Avaluacio[#Data],COLUMN(Avaluacio[Grau de compliment]),FALSE),"")</f>
        <v>Compleix totalment</v>
      </c>
    </row>
    <row r="228" spans="1:8" ht="30" customHeight="1" x14ac:dyDescent="0.2">
      <c r="A228" s="28" t="str">
        <f t="array" ref="A228">IFERROR(INDEX(Avaluacio[Codi ítem],(MATCH(0,INDEX(COUNTIF($A$108:A227,Avaluacio[Codi ítem]),0,0)+INDEX(Avaluacio[Avaluable]="No",0,0),0))),"")</f>
        <v>XGO121</v>
      </c>
      <c r="B228" s="61" t="str">
        <f t="array" ref="B228">IFERROR(VLOOKUP(A228,Avaluacio[#Data],COLUMN(Avaluacio[Ítem]),FALSE),"")</f>
        <v>Informació de la contaminació acústica</v>
      </c>
      <c r="C228" s="61"/>
      <c r="D228" s="61"/>
      <c r="E228" s="61"/>
      <c r="F228" s="28" t="str">
        <f t="array" ref="F228">IFERROR(VLOOKUP(A228,Avaluacio[],COLUMN(Avaluacio[Contingut]),FALSE),"")</f>
        <v>Sí</v>
      </c>
      <c r="G228" s="28" t="str">
        <f t="array" ref="G228">IFERROR(VLOOKUP(A228,Avaluacio[],COLUMN(Avaluacio[Actualització]),FALSE),"")</f>
        <v>Sí</v>
      </c>
      <c r="H228" s="28" t="str">
        <f t="array" ref="H228">IFERROR(VLOOKUP(A228,Avaluacio[#Data],COLUMN(Avaluacio[Grau de compliment]),FALSE),"")</f>
        <v>Compleix totalment</v>
      </c>
    </row>
    <row r="229" spans="1:8" ht="30" customHeight="1" x14ac:dyDescent="0.2">
      <c r="A229" s="28" t="str">
        <f t="array" ref="A229">IFERROR(INDEX(Avaluacio[Codi ítem],(MATCH(0,INDEX(COUNTIF($A$108:A228,Avaluacio[Codi ítem]),0,0)+INDEX(Avaluacio[Avaluable]="No",0,0),0))),"")</f>
        <v>XGO122</v>
      </c>
      <c r="B229" s="61" t="str">
        <f t="array" ref="B229">IFERROR(VLOOKUP(A229,Avaluacio[#Data],COLUMN(Avaluacio[Ítem]),FALSE),"")</f>
        <v>Avaluacions de les polítiques públiques</v>
      </c>
      <c r="C229" s="61"/>
      <c r="D229" s="61"/>
      <c r="E229" s="61"/>
      <c r="F229" s="28" t="str">
        <f t="array" ref="F229">IFERROR(VLOOKUP(A229,Avaluacio[],COLUMN(Avaluacio[Contingut]),FALSE),"")</f>
        <v>No</v>
      </c>
      <c r="G229" s="28" t="str">
        <f t="array" ref="G229">IFERROR(VLOOKUP(A229,Avaluacio[],COLUMN(Avaluacio[Actualització]),FALSE),"")</f>
        <v>No</v>
      </c>
      <c r="H229" s="28" t="str">
        <f t="array" ref="H229">IFERROR(VLOOKUP(A229,Avaluacio[#Data],COLUMN(Avaluacio[Grau de compliment]),FALSE),"")</f>
        <v>No compleix</v>
      </c>
    </row>
    <row r="230" spans="1:8" ht="30" customHeight="1" x14ac:dyDescent="0.2">
      <c r="A230" s="28" t="str">
        <f t="array" ref="A230">IFERROR(INDEX(Avaluacio[Codi ítem],(MATCH(0,INDEX(COUNTIF($A$108:A229,Avaluacio[Codi ítem]),0,0)+INDEX(Avaluacio[Avaluable]="No",0,0),0))),"")</f>
        <v>XGO123</v>
      </c>
      <c r="B230" s="61" t="str">
        <f t="array" ref="B230">IFERROR(VLOOKUP(A230,Avaluacio[#Data],COLUMN(Avaluacio[Ítem]),FALSE),"")</f>
        <v>Avaluacions de qualitat dels serveis públics</v>
      </c>
      <c r="C230" s="61"/>
      <c r="D230" s="61"/>
      <c r="E230" s="61"/>
      <c r="F230" s="28" t="str">
        <f t="array" ref="F230">IFERROR(VLOOKUP(A230,Avaluacio[],COLUMN(Avaluacio[Contingut]),FALSE),"")</f>
        <v>No</v>
      </c>
      <c r="G230" s="28" t="str">
        <f t="array" ref="G230">IFERROR(VLOOKUP(A230,Avaluacio[],COLUMN(Avaluacio[Actualització]),FALSE),"")</f>
        <v>No</v>
      </c>
      <c r="H230" s="28" t="str">
        <f t="array" ref="H230">IFERROR(VLOOKUP(A230,Avaluacio[#Data],COLUMN(Avaluacio[Grau de compliment]),FALSE),"")</f>
        <v>No compleix</v>
      </c>
    </row>
    <row r="231" spans="1:8" ht="30" customHeight="1" x14ac:dyDescent="0.2">
      <c r="A231" s="28" t="str">
        <f t="array" ref="A231">IFERROR(INDEX(Avaluacio[Codi ítem],(MATCH(0,INDEX(COUNTIF($A$108:A230,Avaluacio[Codi ítem]),0,0)+INDEX(Avaluacio[Avaluable]="No",0,0),0))),"")</f>
        <v>XGO124</v>
      </c>
      <c r="B231" s="61" t="str">
        <f t="array" ref="B231">IFERROR(VLOOKUP(A231,Avaluacio[#Data],COLUMN(Avaluacio[Ítem]),FALSE),"")</f>
        <v>Indicadors de transparència</v>
      </c>
      <c r="C231" s="61"/>
      <c r="D231" s="61"/>
      <c r="E231" s="61"/>
      <c r="F231" s="28" t="str">
        <f t="array" ref="F231">IFERROR(VLOOKUP(A231,Avaluacio[],COLUMN(Avaluacio[Contingut]),FALSE),"")</f>
        <v>Sí</v>
      </c>
      <c r="G231" s="28" t="str">
        <f t="array" ref="G231">IFERROR(VLOOKUP(A231,Avaluacio[],COLUMN(Avaluacio[Actualització]),FALSE),"")</f>
        <v>Sí</v>
      </c>
      <c r="H231" s="28" t="str">
        <f t="array" ref="H231">IFERROR(VLOOKUP(A231,Avaluacio[#Data],COLUMN(Avaluacio[Grau de compliment]),FALSE),"")</f>
        <v>Compleix totalment</v>
      </c>
    </row>
    <row r="232" spans="1:8" ht="30" customHeight="1" x14ac:dyDescent="0.2">
      <c r="A232" s="28" t="str">
        <f t="array" ref="A232">IFERROR(INDEX(Avaluacio[Codi ítem],(MATCH(0,INDEX(COUNTIF($A$108:A231,Avaluacio[Codi ítem]),0,0)+INDEX(Avaluacio[Avaluable]="No",0,0),0))),"")</f>
        <v>XGO125</v>
      </c>
      <c r="B232" s="61" t="str">
        <f t="array" ref="B232">IFERROR(VLOOKUP(A232,Avaluacio[#Data],COLUMN(Avaluacio[Ítem]),FALSE),"")</f>
        <v>Atenció ciutadana</v>
      </c>
      <c r="C232" s="61"/>
      <c r="D232" s="61"/>
      <c r="E232" s="61"/>
      <c r="F232" s="28" t="str">
        <f t="array" ref="F232">IFERROR(VLOOKUP(A232,Avaluacio[],COLUMN(Avaluacio[Contingut]),FALSE),"")</f>
        <v>Sí</v>
      </c>
      <c r="G232" s="28" t="str">
        <f t="array" ref="G232">IFERROR(VLOOKUP(A232,Avaluacio[],COLUMN(Avaluacio[Actualització]),FALSE),"")</f>
        <v>Sí</v>
      </c>
      <c r="H232" s="28" t="str">
        <f t="array" ref="H232">IFERROR(VLOOKUP(A232,Avaluacio[#Data],COLUMN(Avaluacio[Grau de compliment]),FALSE),"")</f>
        <v>Compleix totalment</v>
      </c>
    </row>
    <row r="233" spans="1:8" ht="30" customHeight="1" x14ac:dyDescent="0.2">
      <c r="A233" s="28" t="str">
        <f t="array" ref="A233">IFERROR(INDEX(Avaluacio[Codi ítem],(MATCH(0,INDEX(COUNTIF($A$108:A232,Avaluacio[Codi ítem]),0,0)+INDEX(Avaluacio[Avaluable]="No",0,0),0))),"")</f>
        <v>XGO126</v>
      </c>
      <c r="B233" s="61" t="str">
        <f t="array" ref="B233">IFERROR(VLOOKUP(A233,Avaluacio[#Data],COLUMN(Avaluacio[Ítem]),FALSE),"")</f>
        <v>Calendari dies inhàbils</v>
      </c>
      <c r="C233" s="61"/>
      <c r="D233" s="61"/>
      <c r="E233" s="61"/>
      <c r="F233" s="28" t="str">
        <f t="array" ref="F233">IFERROR(VLOOKUP(A233,Avaluacio[],COLUMN(Avaluacio[Contingut]),FALSE),"")</f>
        <v>Sí</v>
      </c>
      <c r="G233" s="28" t="str">
        <f t="array" ref="G233">IFERROR(VLOOKUP(A233,Avaluacio[],COLUMN(Avaluacio[Actualització]),FALSE),"")</f>
        <v>Sí</v>
      </c>
      <c r="H233" s="28" t="str">
        <f t="array" ref="H233">IFERROR(VLOOKUP(A233,Avaluacio[#Data],COLUMN(Avaluacio[Grau de compliment]),FALSE),"")</f>
        <v>Compleix totalment</v>
      </c>
    </row>
    <row r="234" spans="1:8" ht="30" customHeight="1" x14ac:dyDescent="0.2">
      <c r="A234" s="28" t="str">
        <f t="array" ref="A234">IFERROR(INDEX(Avaluacio[Codi ítem],(MATCH(0,INDEX(COUNTIF($A$108:A233,Avaluacio[Codi ítem]),0,0)+INDEX(Avaluacio[Avaluable]="No",0,0),0))),"")</f>
        <v>XGO127</v>
      </c>
      <c r="B234" s="61" t="str">
        <f t="array" ref="B234">IFERROR(VLOOKUP(A234,Avaluacio[#Data],COLUMN(Avaluacio[Ítem]),FALSE),"")</f>
        <v>Catàleg i cartes de serveis</v>
      </c>
      <c r="C234" s="61"/>
      <c r="D234" s="61"/>
      <c r="E234" s="61"/>
      <c r="F234" s="28" t="str">
        <f t="array" ref="F234">IFERROR(VLOOKUP(A234,Avaluacio[],COLUMN(Avaluacio[Contingut]),FALSE),"")</f>
        <v>Sí</v>
      </c>
      <c r="G234" s="28" t="str">
        <f t="array" ref="G234">IFERROR(VLOOKUP(A234,Avaluacio[],COLUMN(Avaluacio[Actualització]),FALSE),"")</f>
        <v>Sí</v>
      </c>
      <c r="H234" s="28" t="str">
        <f t="array" ref="H234">IFERROR(VLOOKUP(A234,Avaluacio[#Data],COLUMN(Avaluacio[Grau de compliment]),FALSE),"")</f>
        <v>Compleix totalment</v>
      </c>
    </row>
    <row r="235" spans="1:8" ht="30" customHeight="1" x14ac:dyDescent="0.2">
      <c r="A235" s="28" t="str">
        <f t="array" ref="A235">IFERROR(INDEX(Avaluacio[Codi ítem],(MATCH(0,INDEX(COUNTIF($A$108:A234,Avaluacio[Codi ítem]),0,0)+INDEX(Avaluacio[Avaluable]="No",0,0),0))),"")</f>
        <v>XGO128</v>
      </c>
      <c r="B235" s="61" t="str">
        <f t="array" ref="B235">IFERROR(VLOOKUP(A235,Avaluacio[#Data],COLUMN(Avaluacio[Ítem]),FALSE),"")</f>
        <v>Equipaments municipals</v>
      </c>
      <c r="C235" s="61"/>
      <c r="D235" s="61"/>
      <c r="E235" s="61"/>
      <c r="F235" s="28" t="str">
        <f t="array" ref="F235">IFERROR(VLOOKUP(A235,Avaluacio[],COLUMN(Avaluacio[Contingut]),FALSE),"")</f>
        <v>No</v>
      </c>
      <c r="G235" s="28" t="str">
        <f t="array" ref="G235">IFERROR(VLOOKUP(A235,Avaluacio[],COLUMN(Avaluacio[Actualització]),FALSE),"")</f>
        <v>No</v>
      </c>
      <c r="H235" s="28" t="str">
        <f t="array" ref="H235">IFERROR(VLOOKUP(A235,Avaluacio[#Data],COLUMN(Avaluacio[Grau de compliment]),FALSE),"")</f>
        <v>No compleix</v>
      </c>
    </row>
    <row r="236" spans="1:8" ht="30" customHeight="1" x14ac:dyDescent="0.2">
      <c r="A236" s="28" t="str">
        <f t="array" ref="A236">IFERROR(INDEX(Avaluacio[Codi ítem],(MATCH(0,INDEX(COUNTIF($A$108:A235,Avaluacio[Codi ítem]),0,0)+INDEX(Avaluacio[Avaluable]="No",0,0),0))),"")</f>
        <v>XGO129</v>
      </c>
      <c r="B236" s="61" t="str">
        <f t="array" ref="B236">IFERROR(VLOOKUP(A236,Avaluacio[#Data],COLUMN(Avaluacio[Ítem]),FALSE),"")</f>
        <v>Instància genèrica</v>
      </c>
      <c r="C236" s="61"/>
      <c r="D236" s="61"/>
      <c r="E236" s="61"/>
      <c r="F236" s="28" t="str">
        <f t="array" ref="F236">IFERROR(VLOOKUP(A236,Avaluacio[],COLUMN(Avaluacio[Contingut]),FALSE),"")</f>
        <v>Sí</v>
      </c>
      <c r="G236" s="28" t="str">
        <f t="array" ref="G236">IFERROR(VLOOKUP(A236,Avaluacio[],COLUMN(Avaluacio[Actualització]),FALSE),"")</f>
        <v>Sí</v>
      </c>
      <c r="H236" s="28" t="str">
        <f t="array" ref="H236">IFERROR(VLOOKUP(A236,Avaluacio[#Data],COLUMN(Avaluacio[Grau de compliment]),FALSE),"")</f>
        <v>Compleix totalment</v>
      </c>
    </row>
    <row r="237" spans="1:8" ht="30" customHeight="1" x14ac:dyDescent="0.2">
      <c r="A237" s="28" t="str">
        <f t="array" ref="A237">IFERROR(INDEX(Avaluacio[Codi ítem],(MATCH(0,INDEX(COUNTIF($A$108:A236,Avaluacio[Codi ítem]),0,0)+INDEX(Avaluacio[Avaluable]="No",0,0),0))),"")</f>
        <v>XGO130</v>
      </c>
      <c r="B237" s="61" t="str">
        <f t="array" ref="B237">IFERROR(VLOOKUP(A237,Avaluacio[#Data],COLUMN(Avaluacio[Ítem]),FALSE),"")</f>
        <v>Gestió tributària</v>
      </c>
      <c r="C237" s="61"/>
      <c r="D237" s="61"/>
      <c r="E237" s="61"/>
      <c r="F237" s="28" t="str">
        <f t="array" ref="F237">IFERROR(VLOOKUP(A237,Avaluacio[],COLUMN(Avaluacio[Contingut]),FALSE),"")</f>
        <v>Sí</v>
      </c>
      <c r="G237" s="28" t="str">
        <f t="array" ref="G237">IFERROR(VLOOKUP(A237,Avaluacio[],COLUMN(Avaluacio[Actualització]),FALSE),"")</f>
        <v>Sí</v>
      </c>
      <c r="H237" s="28" t="str">
        <f t="array" ref="H237">IFERROR(VLOOKUP(A237,Avaluacio[#Data],COLUMN(Avaluacio[Grau de compliment]),FALSE),"")</f>
        <v>Compleix totalment</v>
      </c>
    </row>
    <row r="238" spans="1:8" ht="30" customHeight="1" x14ac:dyDescent="0.2">
      <c r="A238" s="28" t="str">
        <f t="array" ref="A238">IFERROR(INDEX(Avaluacio[Codi ítem],(MATCH(0,INDEX(COUNTIF($A$108:A237,Avaluacio[Codi ítem]),0,0)+INDEX(Avaluacio[Avaluable]="No",0,0),0))),"")</f>
        <v>XGO131</v>
      </c>
      <c r="B238" s="61" t="str">
        <f t="array" ref="B238">IFERROR(VLOOKUP(A238,Avaluacio[#Data],COLUMN(Avaluacio[Ítem]),FALSE),"")</f>
        <v>Notificacions electròniques</v>
      </c>
      <c r="C238" s="61"/>
      <c r="D238" s="61"/>
      <c r="E238" s="61"/>
      <c r="F238" s="28" t="str">
        <f t="array" ref="F238">IFERROR(VLOOKUP(A238,Avaluacio[],COLUMN(Avaluacio[Contingut]),FALSE),"")</f>
        <v>Sí</v>
      </c>
      <c r="G238" s="28" t="str">
        <f t="array" ref="G238">IFERROR(VLOOKUP(A238,Avaluacio[],COLUMN(Avaluacio[Actualització]),FALSE),"")</f>
        <v>Sí</v>
      </c>
      <c r="H238" s="28" t="str">
        <f t="array" ref="H238">IFERROR(VLOOKUP(A238,Avaluacio[#Data],COLUMN(Avaluacio[Grau de compliment]),FALSE),"")</f>
        <v>Compleix totalment</v>
      </c>
    </row>
    <row r="239" spans="1:8" ht="30" customHeight="1" x14ac:dyDescent="0.2">
      <c r="A239" s="28" t="str">
        <f t="array" ref="A239">IFERROR(INDEX(Avaluacio[Codi ítem],(MATCH(0,INDEX(COUNTIF($A$108:A238,Avaluacio[Codi ítem]),0,0)+INDEX(Avaluacio[Avaluable]="No",0,0),0))),"")</f>
        <v>XGO132</v>
      </c>
      <c r="B239" s="61" t="str">
        <f t="array" ref="B239">IFERROR(VLOOKUP(A239,Avaluacio[#Data],COLUMN(Avaluacio[Ítem]),FALSE),"")</f>
        <v>Factures electròniques</v>
      </c>
      <c r="C239" s="61"/>
      <c r="D239" s="61"/>
      <c r="E239" s="61"/>
      <c r="F239" s="28" t="str">
        <f t="array" ref="F239">IFERROR(VLOOKUP(A239,Avaluacio[],COLUMN(Avaluacio[Contingut]),FALSE),"")</f>
        <v>Sí</v>
      </c>
      <c r="G239" s="28" t="str">
        <f t="array" ref="G239">IFERROR(VLOOKUP(A239,Avaluacio[],COLUMN(Avaluacio[Actualització]),FALSE),"")</f>
        <v>Sí</v>
      </c>
      <c r="H239" s="28" t="str">
        <f t="array" ref="H239">IFERROR(VLOOKUP(A239,Avaluacio[#Data],COLUMN(Avaluacio[Grau de compliment]),FALSE),"")</f>
        <v>Compleix totalment</v>
      </c>
    </row>
    <row r="240" spans="1:8" ht="30" customHeight="1" x14ac:dyDescent="0.2">
      <c r="A240" s="28" t="str">
        <f t="array" ref="A240">IFERROR(INDEX(Avaluacio[Codi ítem],(MATCH(0,INDEX(COUNTIF($A$108:A239,Avaluacio[Codi ítem]),0,0)+INDEX(Avaluacio[Avaluable]="No",0,0),0))),"")</f>
        <v>XGO133</v>
      </c>
      <c r="B240" s="61" t="str">
        <f t="array" ref="B240">IFERROR(VLOOKUP(A240,Avaluacio[#Data],COLUMN(Avaluacio[Ítem]),FALSE),"")</f>
        <v>Sol·licitud d'accés a la informació pública</v>
      </c>
      <c r="C240" s="61"/>
      <c r="D240" s="61"/>
      <c r="E240" s="61"/>
      <c r="F240" s="28" t="str">
        <f t="array" ref="F240">IFERROR(VLOOKUP(A240,Avaluacio[],COLUMN(Avaluacio[Contingut]),FALSE),"")</f>
        <v>Sí</v>
      </c>
      <c r="G240" s="28" t="str">
        <f t="array" ref="G240">IFERROR(VLOOKUP(A240,Avaluacio[],COLUMN(Avaluacio[Actualització]),FALSE),"")</f>
        <v>Sí</v>
      </c>
      <c r="H240" s="28" t="str">
        <f t="array" ref="H240">IFERROR(VLOOKUP(A240,Avaluacio[#Data],COLUMN(Avaluacio[Grau de compliment]),FALSE),"")</f>
        <v>Compleix totalment</v>
      </c>
    </row>
    <row r="241" spans="1:8" ht="30" customHeight="1" x14ac:dyDescent="0.2">
      <c r="A241" s="28" t="str">
        <f t="array" ref="A241">IFERROR(INDEX(Avaluacio[Codi ítem],(MATCH(0,INDEX(COUNTIF($A$108:A240,Avaluacio[Codi ítem]),0,0)+INDEX(Avaluacio[Avaluable]="No",0,0),0))),"")</f>
        <v>XGO134</v>
      </c>
      <c r="B241" s="61" t="str">
        <f t="array" ref="B241">IFERROR(VLOOKUP(A241,Avaluacio[#Data],COLUMN(Avaluacio[Ítem]),FALSE),"")</f>
        <v>Suggeriments, queixes i propostes</v>
      </c>
      <c r="C241" s="61"/>
      <c r="D241" s="61"/>
      <c r="E241" s="61"/>
      <c r="F241" s="28" t="str">
        <f t="array" ref="F241">IFERROR(VLOOKUP(A241,Avaluacio[],COLUMN(Avaluacio[Contingut]),FALSE),"")</f>
        <v>Sí</v>
      </c>
      <c r="G241" s="28" t="str">
        <f t="array" ref="G241">IFERROR(VLOOKUP(A241,Avaluacio[],COLUMN(Avaluacio[Actualització]),FALSE),"")</f>
        <v>Sí</v>
      </c>
      <c r="H241" s="28" t="str">
        <f t="array" ref="H241">IFERROR(VLOOKUP(A241,Avaluacio[#Data],COLUMN(Avaluacio[Grau de compliment]),FALSE),"")</f>
        <v>Compleix totalment</v>
      </c>
    </row>
    <row r="242" spans="1:8" ht="30" customHeight="1" x14ac:dyDescent="0.2">
      <c r="A242" s="28" t="str">
        <f t="array" ref="A242">IFERROR(INDEX(Avaluacio[Codi ítem],(MATCH(0,INDEX(COUNTIF($A$108:A241,Avaluacio[Codi ítem]),0,0)+INDEX(Avaluacio[Avaluable]="No",0,0),0))),"")</f>
        <v>XGO135</v>
      </c>
      <c r="B242" s="61" t="str">
        <f t="array" ref="B242">IFERROR(VLOOKUP(A242,Avaluacio[#Data],COLUMN(Avaluacio[Ítem]),FALSE),"")</f>
        <v xml:space="preserve">El meu espai personal </v>
      </c>
      <c r="C242" s="61"/>
      <c r="D242" s="61"/>
      <c r="E242" s="61"/>
      <c r="F242" s="28" t="str">
        <f t="array" ref="F242">IFERROR(VLOOKUP(A242,Avaluacio[],COLUMN(Avaluacio[Contingut]),FALSE),"")</f>
        <v>Sí</v>
      </c>
      <c r="G242" s="28" t="str">
        <f t="array" ref="G242">IFERROR(VLOOKUP(A242,Avaluacio[],COLUMN(Avaluacio[Actualització]),FALSE),"")</f>
        <v>Sí</v>
      </c>
      <c r="H242" s="28" t="str">
        <f t="array" ref="H242">IFERROR(VLOOKUP(A242,Avaluacio[#Data],COLUMN(Avaluacio[Grau de compliment]),FALSE),"")</f>
        <v>Compleix totalment</v>
      </c>
    </row>
    <row r="243" spans="1:8" ht="30" customHeight="1" x14ac:dyDescent="0.2">
      <c r="A243" s="28" t="str">
        <f t="array" ref="A243">IFERROR(INDEX(Avaluacio[Codi ítem],(MATCH(0,INDEX(COUNTIF($A$108:A242,Avaluacio[Codi ítem]),0,0)+INDEX(Avaluacio[Avaluable]="No",0,0),0))),"")</f>
        <v>XGO136</v>
      </c>
      <c r="B243" s="61" t="str">
        <f t="array" ref="B243">IFERROR(VLOOKUP(A243,Avaluacio[#Data],COLUMN(Avaluacio[Ítem]),FALSE),"")</f>
        <v>Catàleg de tràmits i procediments</v>
      </c>
      <c r="C243" s="61"/>
      <c r="D243" s="61"/>
      <c r="E243" s="61"/>
      <c r="F243" s="28" t="str">
        <f t="array" ref="F243">IFERROR(VLOOKUP(A243,Avaluacio[],COLUMN(Avaluacio[Contingut]),FALSE),"")</f>
        <v>Sí</v>
      </c>
      <c r="G243" s="28" t="str">
        <f t="array" ref="G243">IFERROR(VLOOKUP(A243,Avaluacio[],COLUMN(Avaluacio[Actualització]),FALSE),"")</f>
        <v>Sí</v>
      </c>
      <c r="H243" s="28" t="str">
        <f t="array" ref="H243">IFERROR(VLOOKUP(A243,Avaluacio[#Data],COLUMN(Avaluacio[Grau de compliment]),FALSE),"")</f>
        <v>Compleix totalment</v>
      </c>
    </row>
    <row r="244" spans="1:8" ht="30" customHeight="1" x14ac:dyDescent="0.2">
      <c r="A244" s="28" t="str">
        <f t="array" ref="A244">IFERROR(INDEX(Avaluacio[Codi ítem],(MATCH(0,INDEX(COUNTIF($A$108:A243,Avaluacio[Codi ítem]),0,0)+INDEX(Avaluacio[Avaluable]="No",0,0),0))),"")</f>
        <v>XGO137</v>
      </c>
      <c r="B244" s="61" t="str">
        <f t="array" ref="B244">IFERROR(VLOOKUP(A244,Avaluacio[#Data],COLUMN(Avaluacio[Ítem]),FALSE),"")</f>
        <v>Catàleg de dades i documents interoperables</v>
      </c>
      <c r="C244" s="61"/>
      <c r="D244" s="61"/>
      <c r="E244" s="61"/>
      <c r="F244" s="28" t="str">
        <f t="array" ref="F244">IFERROR(VLOOKUP(A244,Avaluacio[],COLUMN(Avaluacio[Contingut]),FALSE),"")</f>
        <v>Sí</v>
      </c>
      <c r="G244" s="28" t="str">
        <f t="array" ref="G244">IFERROR(VLOOKUP(A244,Avaluacio[],COLUMN(Avaluacio[Actualització]),FALSE),"")</f>
        <v>Sí</v>
      </c>
      <c r="H244" s="28" t="str">
        <f t="array" ref="H244">IFERROR(VLOOKUP(A244,Avaluacio[#Data],COLUMN(Avaluacio[Grau de compliment]),FALSE),"")</f>
        <v>Compleix totalment</v>
      </c>
    </row>
    <row r="245" spans="1:8" ht="30" customHeight="1" x14ac:dyDescent="0.2">
      <c r="A245" s="28" t="str">
        <f t="array" ref="A245">IFERROR(INDEX(Avaluacio[Codi ítem],(MATCH(0,INDEX(COUNTIF($A$108:A244,Avaluacio[Codi ítem]),0,0)+INDEX(Avaluacio[Avaluable]="No",0,0),0))),"")</f>
        <v>XGO138</v>
      </c>
      <c r="B245" s="61" t="str">
        <f t="array" ref="B245">IFERROR(VLOOKUP(A245,Avaluacio[#Data],COLUMN(Avaluacio[Ítem]),FALSE),"")</f>
        <v>Gestor de representacions</v>
      </c>
      <c r="C245" s="61"/>
      <c r="D245" s="61"/>
      <c r="E245" s="61"/>
      <c r="F245" s="28" t="str">
        <f t="array" ref="F245">IFERROR(VLOOKUP(A245,Avaluacio[],COLUMN(Avaluacio[Contingut]),FALSE),"")</f>
        <v>Sí</v>
      </c>
      <c r="G245" s="28" t="str">
        <f t="array" ref="G245">IFERROR(VLOOKUP(A245,Avaluacio[],COLUMN(Avaluacio[Actualització]),FALSE),"")</f>
        <v>Sí</v>
      </c>
      <c r="H245" s="28" t="str">
        <f t="array" ref="H245">IFERROR(VLOOKUP(A245,Avaluacio[#Data],COLUMN(Avaluacio[Grau de compliment]),FALSE),"")</f>
        <v>Compleix totalment</v>
      </c>
    </row>
    <row r="246" spans="1:8" ht="30" customHeight="1" x14ac:dyDescent="0.2">
      <c r="A246" s="28" t="str">
        <f t="array" ref="A246">IFERROR(INDEX(Avaluacio[Codi ítem],(MATCH(0,INDEX(COUNTIF($A$108:A245,Avaluacio[Codi ítem]),0,0)+INDEX(Avaluacio[Avaluable]="No",0,0),0))),"")</f>
        <v>XGO139</v>
      </c>
      <c r="B246" s="61" t="str">
        <f t="array" ref="B246">IFERROR(VLOOKUP(A246,Avaluacio[#Data],COLUMN(Avaluacio[Ítem]),FALSE),"")</f>
        <v>Finestra única empresarial (FUE)</v>
      </c>
      <c r="C246" s="61"/>
      <c r="D246" s="61"/>
      <c r="E246" s="61"/>
      <c r="F246" s="28" t="str">
        <f t="array" ref="F246">IFERROR(VLOOKUP(A246,Avaluacio[],COLUMN(Avaluacio[Contingut]),FALSE),"")</f>
        <v>Sí</v>
      </c>
      <c r="G246" s="28" t="str">
        <f t="array" ref="G246">IFERROR(VLOOKUP(A246,Avaluacio[],COLUMN(Avaluacio[Actualització]),FALSE),"")</f>
        <v>Sí</v>
      </c>
      <c r="H246" s="28" t="str">
        <f t="array" ref="H246">IFERROR(VLOOKUP(A246,Avaluacio[#Data],COLUMN(Avaluacio[Grau de compliment]),FALSE),"")</f>
        <v>Compleix totalment</v>
      </c>
    </row>
    <row r="247" spans="1:8" ht="30" customHeight="1" x14ac:dyDescent="0.2">
      <c r="A247" s="28" t="str">
        <f t="array" ref="A247">IFERROR(INDEX(Avaluacio[Codi ítem],(MATCH(0,INDEX(COUNTIF($A$108:A246,Avaluacio[Codi ítem]),0,0)+INDEX(Avaluacio[Avaluable]="No",0,0),0))),"")</f>
        <v>XGO140</v>
      </c>
      <c r="B247" s="61" t="str">
        <f t="array" ref="B247">IFERROR(VLOOKUP(A247,Avaluacio[#Data],COLUMN(Avaluacio[Ítem]),FALSE),"")</f>
        <v>Verificació de documents mitjançant Codi Segur de Verificació (CSV)</v>
      </c>
      <c r="C247" s="61"/>
      <c r="D247" s="61"/>
      <c r="E247" s="61"/>
      <c r="F247" s="28" t="str">
        <f t="array" ref="F247">IFERROR(VLOOKUP(A247,Avaluacio[],COLUMN(Avaluacio[Contingut]),FALSE),"")</f>
        <v>Sí</v>
      </c>
      <c r="G247" s="28" t="str">
        <f t="array" ref="G247">IFERROR(VLOOKUP(A247,Avaluacio[],COLUMN(Avaluacio[Actualització]),FALSE),"")</f>
        <v>Sí</v>
      </c>
      <c r="H247" s="28" t="str">
        <f t="array" ref="H247">IFERROR(VLOOKUP(A247,Avaluacio[#Data],COLUMN(Avaluacio[Grau de compliment]),FALSE),"")</f>
        <v>Compleix totalment</v>
      </c>
    </row>
    <row r="248" spans="1:8" ht="30" customHeight="1" x14ac:dyDescent="0.2">
      <c r="A248" s="28" t="str">
        <f t="array" ref="A248">IFERROR(INDEX(Avaluacio[Codi ítem],(MATCH(0,INDEX(COUNTIF($A$108:A247,Avaluacio[Codi ítem]),0,0)+INDEX(Avaluacio[Avaluable]="No",0,0),0))),"")</f>
        <v>XGO141</v>
      </c>
      <c r="B248" s="61" t="str">
        <f t="array" ref="B248">IFERROR(VLOOKUP(A248,Avaluacio[#Data],COLUMN(Avaluacio[Ítem]),FALSE),"")</f>
        <v>Espais de participació ciutadana</v>
      </c>
      <c r="C248" s="61"/>
      <c r="D248" s="61"/>
      <c r="E248" s="61"/>
      <c r="F248" s="28" t="str">
        <f t="array" ref="F248">IFERROR(VLOOKUP(A248,Avaluacio[],COLUMN(Avaluacio[Contingut]),FALSE),"")</f>
        <v>Sí</v>
      </c>
      <c r="G248" s="28" t="str">
        <f t="array" ref="G248">IFERROR(VLOOKUP(A248,Avaluacio[],COLUMN(Avaluacio[Actualització]),FALSE),"")</f>
        <v>Sí</v>
      </c>
      <c r="H248" s="28" t="str">
        <f t="array" ref="H248">IFERROR(VLOOKUP(A248,Avaluacio[#Data],COLUMN(Avaluacio[Grau de compliment]),FALSE),"")</f>
        <v>Compleix totalment</v>
      </c>
    </row>
    <row r="249" spans="1:8" ht="30" customHeight="1" x14ac:dyDescent="0.2">
      <c r="A249" s="28" t="str">
        <f t="array" ref="A249">IFERROR(INDEX(Avaluacio[Codi ítem],(MATCH(0,INDEX(COUNTIF($A$108:A248,Avaluacio[Codi ítem]),0,0)+INDEX(Avaluacio[Avaluable]="No",0,0),0))),"")</f>
        <v>XGO142</v>
      </c>
      <c r="B249" s="61" t="str">
        <f t="array" ref="B249">IFERROR(VLOOKUP(A249,Avaluacio[#Data],COLUMN(Avaluacio[Ítem]),FALSE),"")</f>
        <v>Xarxes socials</v>
      </c>
      <c r="C249" s="61"/>
      <c r="D249" s="61"/>
      <c r="E249" s="61"/>
      <c r="F249" s="28" t="str">
        <f t="array" ref="F249">IFERROR(VLOOKUP(A249,Avaluacio[],COLUMN(Avaluacio[Contingut]),FALSE),"")</f>
        <v>Sí</v>
      </c>
      <c r="G249" s="28" t="str">
        <f t="array" ref="G249">IFERROR(VLOOKUP(A249,Avaluacio[],COLUMN(Avaluacio[Actualització]),FALSE),"")</f>
        <v>Sí</v>
      </c>
      <c r="H249" s="28" t="str">
        <f t="array" ref="H249">IFERROR(VLOOKUP(A249,Avaluacio[#Data],COLUMN(Avaluacio[Grau de compliment]),FALSE),"")</f>
        <v>Compleix totalment</v>
      </c>
    </row>
    <row r="250" spans="1:8" ht="30" customHeight="1" x14ac:dyDescent="0.2">
      <c r="A250" s="28" t="str">
        <f t="array" ref="A250">IFERROR(INDEX(Avaluacio[Codi ítem],(MATCH(0,INDEX(COUNTIF($A$108:A249,Avaluacio[Codi ítem]),0,0)+INDEX(Avaluacio[Avaluable]="No",0,0),0))),"")</f>
        <v>XGO143</v>
      </c>
      <c r="B250" s="61" t="str">
        <f t="array" ref="B250">IFERROR(VLOOKUP(A250,Avaluacio[#Data],COLUMN(Avaluacio[Ítem]),FALSE),"")</f>
        <v>Processos participatius en tràmit</v>
      </c>
      <c r="C250" s="61"/>
      <c r="D250" s="61"/>
      <c r="E250" s="61"/>
      <c r="F250" s="28" t="str">
        <f t="array" ref="F250">IFERROR(VLOOKUP(A250,Avaluacio[],COLUMN(Avaluacio[Contingut]),FALSE),"")</f>
        <v>Sí</v>
      </c>
      <c r="G250" s="28" t="str">
        <f t="array" ref="G250">IFERROR(VLOOKUP(A250,Avaluacio[],COLUMN(Avaluacio[Actualització]),FALSE),"")</f>
        <v>Sí</v>
      </c>
      <c r="H250" s="28" t="str">
        <f t="array" ref="H250">IFERROR(VLOOKUP(A250,Avaluacio[#Data],COLUMN(Avaluacio[Grau de compliment]),FALSE),"")</f>
        <v>Compleix totalment</v>
      </c>
    </row>
    <row r="251" spans="1:8" ht="30" customHeight="1" x14ac:dyDescent="0.2">
      <c r="A251" s="28" t="str">
        <f t="array" ref="A251">IFERROR(INDEX(Avaluacio[Codi ítem],(MATCH(0,INDEX(COUNTIF($A$108:A250,Avaluacio[Codi ítem]),0,0)+INDEX(Avaluacio[Avaluable]="No",0,0),0))),"")</f>
        <v>XGO144</v>
      </c>
      <c r="B251" s="61" t="str">
        <f t="array" ref="B251">IFERROR(VLOOKUP(A251,Avaluacio[#Data],COLUMN(Avaluacio[Ítem]),FALSE),"")</f>
        <v>Consultes més freqüents rebudes pels ciutadans o organitzacions</v>
      </c>
      <c r="C251" s="61"/>
      <c r="D251" s="61"/>
      <c r="E251" s="61"/>
      <c r="F251" s="28" t="str">
        <f t="array" ref="F251">IFERROR(VLOOKUP(A251,Avaluacio[],COLUMN(Avaluacio[Contingut]),FALSE),"")</f>
        <v>Sí</v>
      </c>
      <c r="G251" s="28" t="str">
        <f t="array" ref="G251">IFERROR(VLOOKUP(A251,Avaluacio[],COLUMN(Avaluacio[Actualització]),FALSE),"")</f>
        <v>Sí</v>
      </c>
      <c r="H251" s="28" t="str">
        <f t="array" ref="H251">IFERROR(VLOOKUP(A251,Avaluacio[#Data],COLUMN(Avaluacio[Grau de compliment]),FALSE),"")</f>
        <v>Compleix totalment</v>
      </c>
    </row>
    <row r="252" spans="1:8" ht="30" customHeight="1" x14ac:dyDescent="0.2">
      <c r="A252" s="28" t="str">
        <f t="array" ref="A252">IFERROR(INDEX(Avaluacio[Codi ítem],(MATCH(0,INDEX(COUNTIF($A$108:A251,Avaluacio[Codi ítem]),0,0)+INDEX(Avaluacio[Avaluable]="No",0,0),0))),"")</f>
        <v>XGO145</v>
      </c>
      <c r="B252" s="61" t="str">
        <f t="array" ref="B252">IFERROR(VLOOKUP(A252,Avaluacio[#Data],COLUMN(Avaluacio[Ítem]),FALSE),"")</f>
        <v>Directori d'associacions i entitats</v>
      </c>
      <c r="C252" s="61"/>
      <c r="D252" s="61"/>
      <c r="E252" s="61"/>
      <c r="F252" s="28" t="str">
        <f t="array" ref="F252">IFERROR(VLOOKUP(A252,Avaluacio[],COLUMN(Avaluacio[Contingut]),FALSE),"")</f>
        <v>Sí</v>
      </c>
      <c r="G252" s="28" t="str">
        <f t="array" ref="G252">IFERROR(VLOOKUP(A252,Avaluacio[],COLUMN(Avaluacio[Actualització]),FALSE),"")</f>
        <v>Sí</v>
      </c>
      <c r="H252" s="28" t="str">
        <f t="array" ref="H252">IFERROR(VLOOKUP(A252,Avaluacio[#Data],COLUMN(Avaluacio[Grau de compliment]),FALSE),"")</f>
        <v>Compleix totalment</v>
      </c>
    </row>
    <row r="253" spans="1:8" ht="30" customHeight="1" x14ac:dyDescent="0.2">
      <c r="A253" s="28" t="str">
        <f t="array" ref="A253">IFERROR(INDEX(Avaluacio[Codi ítem],(MATCH(0,INDEX(COUNTIF($A$108:A252,Avaluacio[Codi ítem]),0,0)+INDEX(Avaluacio[Avaluable]="No",0,0),0))),"")</f>
        <v>XGO146</v>
      </c>
      <c r="B253" s="61" t="str">
        <f t="array" ref="B253">IFERROR(VLOOKUP(A253,Avaluacio[#Data],COLUMN(Avaluacio[Ítem]),FALSE),"")</f>
        <v>Normativa, reglaments i directrius de participació ciutadana</v>
      </c>
      <c r="C253" s="61"/>
      <c r="D253" s="61"/>
      <c r="E253" s="61"/>
      <c r="F253" s="28" t="str">
        <f t="array" ref="F253">IFERROR(VLOOKUP(A253,Avaluacio[],COLUMN(Avaluacio[Contingut]),FALSE),"")</f>
        <v>No</v>
      </c>
      <c r="G253" s="28" t="str">
        <f t="array" ref="G253">IFERROR(VLOOKUP(A253,Avaluacio[],COLUMN(Avaluacio[Actualització]),FALSE),"")</f>
        <v>No</v>
      </c>
      <c r="H253" s="28" t="str">
        <f t="array" ref="H253">IFERROR(VLOOKUP(A253,Avaluacio[#Data],COLUMN(Avaluacio[Grau de compliment]),FALSE),"")</f>
        <v>No compleix</v>
      </c>
    </row>
    <row r="254" spans="1:8" ht="30" customHeight="1" x14ac:dyDescent="0.2">
      <c r="A254" s="28" t="str">
        <f t="array" ref="A254">IFERROR(INDEX(Avaluacio[Codi ítem],(MATCH(0,INDEX(COUNTIF($A$108:A253,Avaluacio[Codi ítem]),0,0)+INDEX(Avaluacio[Avaluable]="No",0,0),0))),"")</f>
        <v>XGO147</v>
      </c>
      <c r="B254" s="61" t="str">
        <f t="array" ref="B254">IFERROR(VLOOKUP(A254,Avaluacio[#Data],COLUMN(Avaluacio[Ítem]),FALSE),"")</f>
        <v>Agenda i activitats de les associacions</v>
      </c>
      <c r="C254" s="61"/>
      <c r="D254" s="61"/>
      <c r="E254" s="61"/>
      <c r="F254" s="28" t="str">
        <f t="array" ref="F254">IFERROR(VLOOKUP(A254,Avaluacio[],COLUMN(Avaluacio[Contingut]),FALSE),"")</f>
        <v>Sí</v>
      </c>
      <c r="G254" s="28" t="str">
        <f t="array" ref="G254">IFERROR(VLOOKUP(A254,Avaluacio[],COLUMN(Avaluacio[Actualització]),FALSE),"")</f>
        <v>Sí</v>
      </c>
      <c r="H254" s="28" t="str">
        <f t="array" ref="H254">IFERROR(VLOOKUP(A254,Avaluacio[#Data],COLUMN(Avaluacio[Grau de compliment]),FALSE),"")</f>
        <v>Compleix totalment</v>
      </c>
    </row>
    <row r="255" spans="1:8" ht="30" customHeight="1" x14ac:dyDescent="0.2">
      <c r="A255" s="28" t="str">
        <f t="array" ref="A255">IFERROR(INDEX(Avaluacio[Codi ítem],(MATCH(0,INDEX(COUNTIF($A$108:A254,Avaluacio[Codi ítem]),0,0)+INDEX(Avaluacio[Avaluable]="No",0,0),0))),"")</f>
        <v/>
      </c>
      <c r="B255" s="61" t="str">
        <f t="array" ref="B255">IFERROR(VLOOKUP(A255,Avaluacio[#Data],COLUMN(Avaluacio[Ítem]),FALSE),"")</f>
        <v/>
      </c>
      <c r="C255" s="61"/>
      <c r="D255" s="61"/>
      <c r="E255" s="61"/>
      <c r="F255" s="28" t="str">
        <f t="array" ref="F255">IFERROR(VLOOKUP(A255,Avaluacio[],COLUMN(Avaluacio[Contingut]),FALSE),"")</f>
        <v/>
      </c>
      <c r="G255" s="28" t="str">
        <f t="array" ref="G255">IFERROR(VLOOKUP(A255,Avaluacio[],COLUMN(Avaluacio[Actualització]),FALSE),"")</f>
        <v/>
      </c>
      <c r="H255" s="28" t="str">
        <f t="array" ref="H255">IFERROR(VLOOKUP(A255,Avaluacio[#Data],COLUMN(Avaluacio[Grau de compliment]),FALSE),"")</f>
        <v/>
      </c>
    </row>
  </sheetData>
  <sheetProtection algorithmName="SHA-512" hashValue="VsVNvmG+eU5fC1NhIaewsAJzLd0bzhXzLDL+ayIpXtSWR7tPwwrmVH9XNtqS4RfHGOyR6Jkjk3j8Hp13sOPqDA==" saltValue="N19kDxJxGUCslyQwKT5d5Q==" spinCount="100000" sheet="1" objects="1" scenarios="1"/>
  <mergeCells count="165">
    <mergeCell ref="B202:E202"/>
    <mergeCell ref="B203:E203"/>
    <mergeCell ref="B204:E204"/>
    <mergeCell ref="B205:E205"/>
    <mergeCell ref="B206:E206"/>
    <mergeCell ref="B244:E244"/>
    <mergeCell ref="A4:H7"/>
    <mergeCell ref="A9:H11"/>
    <mergeCell ref="A15:H15"/>
    <mergeCell ref="A27:H27"/>
    <mergeCell ref="A53:H53"/>
    <mergeCell ref="A106:H106"/>
    <mergeCell ref="A72:D72"/>
    <mergeCell ref="A73:D75"/>
    <mergeCell ref="A76:D78"/>
    <mergeCell ref="A79:D81"/>
    <mergeCell ref="A82:D84"/>
    <mergeCell ref="A85:D87"/>
    <mergeCell ref="A89:D89"/>
    <mergeCell ref="A90:D92"/>
    <mergeCell ref="B193:E193"/>
    <mergeCell ref="B194:E194"/>
    <mergeCell ref="B195:E195"/>
    <mergeCell ref="B196:E196"/>
    <mergeCell ref="B197:E197"/>
    <mergeCell ref="B198:E198"/>
    <mergeCell ref="B199:E199"/>
    <mergeCell ref="B200:E200"/>
    <mergeCell ref="B201:E201"/>
    <mergeCell ref="B184:E184"/>
    <mergeCell ref="B185:E185"/>
    <mergeCell ref="B186:E186"/>
    <mergeCell ref="B187:E187"/>
    <mergeCell ref="B188:E188"/>
    <mergeCell ref="B189:E189"/>
    <mergeCell ref="B190:E190"/>
    <mergeCell ref="B191:E191"/>
    <mergeCell ref="B192:E192"/>
    <mergeCell ref="B178:E178"/>
    <mergeCell ref="B179:E179"/>
    <mergeCell ref="B180:E180"/>
    <mergeCell ref="B181:E181"/>
    <mergeCell ref="B182:E182"/>
    <mergeCell ref="B183:E183"/>
    <mergeCell ref="B174:E174"/>
    <mergeCell ref="B175:E175"/>
    <mergeCell ref="B176:E176"/>
    <mergeCell ref="B177:E177"/>
    <mergeCell ref="B163:E163"/>
    <mergeCell ref="B168:E168"/>
    <mergeCell ref="B169:E169"/>
    <mergeCell ref="B170:E170"/>
    <mergeCell ref="B171:E171"/>
    <mergeCell ref="B172:E172"/>
    <mergeCell ref="B173:E173"/>
    <mergeCell ref="B164:E164"/>
    <mergeCell ref="B165:E165"/>
    <mergeCell ref="B166:E166"/>
    <mergeCell ref="B167:E167"/>
    <mergeCell ref="B154:E154"/>
    <mergeCell ref="B155:E155"/>
    <mergeCell ref="B156:E156"/>
    <mergeCell ref="B157:E157"/>
    <mergeCell ref="B158:E158"/>
    <mergeCell ref="B159:E159"/>
    <mergeCell ref="B160:E160"/>
    <mergeCell ref="B161:E161"/>
    <mergeCell ref="B162:E162"/>
    <mergeCell ref="B136:E136"/>
    <mergeCell ref="B135:E135"/>
    <mergeCell ref="B134:E134"/>
    <mergeCell ref="B143:E143"/>
    <mergeCell ref="B142:E142"/>
    <mergeCell ref="B153:E153"/>
    <mergeCell ref="B152:E152"/>
    <mergeCell ref="B151:E151"/>
    <mergeCell ref="B150:E150"/>
    <mergeCell ref="B149:E149"/>
    <mergeCell ref="B148:E148"/>
    <mergeCell ref="B147:E147"/>
    <mergeCell ref="B146:E146"/>
    <mergeCell ref="B145:E145"/>
    <mergeCell ref="B144:E144"/>
    <mergeCell ref="B115:E115"/>
    <mergeCell ref="A93:D95"/>
    <mergeCell ref="A96:D98"/>
    <mergeCell ref="A99:D101"/>
    <mergeCell ref="A102:D104"/>
    <mergeCell ref="B109:E109"/>
    <mergeCell ref="B110:E110"/>
    <mergeCell ref="B113:E113"/>
    <mergeCell ref="B112:E112"/>
    <mergeCell ref="B111:E111"/>
    <mergeCell ref="B243:E243"/>
    <mergeCell ref="B123:E123"/>
    <mergeCell ref="B122:E122"/>
    <mergeCell ref="B121:E121"/>
    <mergeCell ref="B120:E120"/>
    <mergeCell ref="B119:E119"/>
    <mergeCell ref="B118:E118"/>
    <mergeCell ref="B117:E117"/>
    <mergeCell ref="B116:E116"/>
    <mergeCell ref="B126:E126"/>
    <mergeCell ref="B125:E125"/>
    <mergeCell ref="B124:E124"/>
    <mergeCell ref="B133:E133"/>
    <mergeCell ref="B132:E132"/>
    <mergeCell ref="B127:E127"/>
    <mergeCell ref="B128:E128"/>
    <mergeCell ref="B129:E129"/>
    <mergeCell ref="B130:E130"/>
    <mergeCell ref="B131:E131"/>
    <mergeCell ref="B141:E141"/>
    <mergeCell ref="B140:E140"/>
    <mergeCell ref="B139:E139"/>
    <mergeCell ref="B138:E138"/>
    <mergeCell ref="B137:E137"/>
    <mergeCell ref="B229:E229"/>
    <mergeCell ref="B114:E114"/>
    <mergeCell ref="B253:E253"/>
    <mergeCell ref="B245:E245"/>
    <mergeCell ref="B246:E246"/>
    <mergeCell ref="B247:E247"/>
    <mergeCell ref="B248:E248"/>
    <mergeCell ref="B249:E249"/>
    <mergeCell ref="B250:E250"/>
    <mergeCell ref="B251:E251"/>
    <mergeCell ref="B252:E252"/>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54:E254"/>
    <mergeCell ref="B255:E255"/>
    <mergeCell ref="B207:E207"/>
    <mergeCell ref="B208:E208"/>
    <mergeCell ref="B209:E209"/>
    <mergeCell ref="B210:E210"/>
    <mergeCell ref="B211:E211"/>
    <mergeCell ref="B212:E212"/>
    <mergeCell ref="B213:E213"/>
    <mergeCell ref="B214:E214"/>
    <mergeCell ref="B215:E215"/>
    <mergeCell ref="B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s>
  <conditionalFormatting sqref="A109:A255">
    <cfRule type="notContainsBlanks" dxfId="33" priority="2">
      <formula>LEN(TRIM(A109))&gt;0</formula>
    </cfRule>
  </conditionalFormatting>
  <conditionalFormatting sqref="A109:G255">
    <cfRule type="expression" dxfId="32" priority="4">
      <formula>LEFT($A109,3)="XGO"</formula>
    </cfRule>
  </conditionalFormatting>
  <conditionalFormatting sqref="A108:H108">
    <cfRule type="notContainsBlanks" dxfId="31" priority="5">
      <formula>LEN(TRIM(A108))&gt;0</formula>
    </cfRule>
  </conditionalFormatting>
  <conditionalFormatting sqref="B109">
    <cfRule type="expression" dxfId="30" priority="1">
      <formula>LEFT($A109,3)="XGO"</formula>
    </cfRule>
  </conditionalFormatting>
  <conditionalFormatting sqref="F109:G255">
    <cfRule type="cellIs" dxfId="29" priority="8" operator="equal">
      <formula>"N/A"</formula>
    </cfRule>
    <cfRule type="cellIs" dxfId="28" priority="9" operator="equal">
      <formula>"No"</formula>
    </cfRule>
    <cfRule type="cellIs" dxfId="27" priority="10" operator="equal">
      <formula>"Sí"</formula>
    </cfRule>
  </conditionalFormatting>
  <conditionalFormatting sqref="H109:H255">
    <cfRule type="cellIs" dxfId="26" priority="11" operator="equal">
      <formula>"Pendent d'avaluar"</formula>
    </cfRule>
    <cfRule type="cellIs" dxfId="25" priority="12" operator="equal">
      <formula>"No aplicable"</formula>
    </cfRule>
    <cfRule type="cellIs" dxfId="24" priority="13" operator="equal">
      <formula>"No compleix"</formula>
    </cfRule>
    <cfRule type="cellIs" dxfId="23" priority="14" operator="equal">
      <formula>"Compleix parcialment"</formula>
    </cfRule>
    <cfRule type="cellIs" dxfId="22" priority="17" operator="equal">
      <formula>"Compleix totalment"</formula>
    </cfRule>
  </conditionalFormatting>
  <printOptions horizontalCentered="1"/>
  <pageMargins left="0.78740157480314965" right="0.78740157480314965" top="0.98425196850393704" bottom="0.98425196850393704" header="0.31496062992125984" footer="0.31496062992125984"/>
  <pageSetup paperSize="9" scale="95" fitToWidth="0" fitToHeight="0" orientation="portrait" r:id="rId1"/>
  <rowBreaks count="2" manualBreakCount="2">
    <brk id="52" max="16383" man="1"/>
    <brk id="10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workbookViewId="0"/>
  </sheetViews>
  <sheetFormatPr baseColWidth="10" defaultColWidth="9" defaultRowHeight="14.25" x14ac:dyDescent="0.2"/>
  <cols>
    <col min="1" max="1" width="17.5" customWidth="1"/>
    <col min="2" max="2" width="13.25" style="6" customWidth="1"/>
    <col min="3" max="3" width="15.375" style="6" customWidth="1"/>
    <col min="4" max="4" width="12.125" style="6" customWidth="1"/>
    <col min="5" max="12" width="12.125" style="9" customWidth="1"/>
    <col min="13" max="13" width="9" style="9"/>
    <col min="14" max="14" width="12.25" style="9" customWidth="1"/>
    <col min="15" max="16384" width="9" style="9"/>
  </cols>
  <sheetData>
    <row r="1" spans="1:12" s="11" customFormat="1" ht="30" x14ac:dyDescent="0.2">
      <c r="A1" s="10" t="s">
        <v>652</v>
      </c>
      <c r="B1" s="8" t="s">
        <v>919</v>
      </c>
      <c r="C1" s="8" t="s">
        <v>920</v>
      </c>
      <c r="D1" s="8" t="s">
        <v>934</v>
      </c>
      <c r="E1" s="8" t="s">
        <v>935</v>
      </c>
      <c r="F1" s="8" t="s">
        <v>640</v>
      </c>
      <c r="G1" s="8" t="s">
        <v>641</v>
      </c>
      <c r="H1" s="8" t="s">
        <v>921</v>
      </c>
      <c r="I1" s="11" t="s">
        <v>643</v>
      </c>
      <c r="J1" s="11" t="s">
        <v>630</v>
      </c>
      <c r="K1" s="11" t="s">
        <v>922</v>
      </c>
      <c r="L1" s="8" t="s">
        <v>655</v>
      </c>
    </row>
    <row r="2" spans="1:12" ht="28.5" x14ac:dyDescent="0.2">
      <c r="A2" t="str">
        <f t="array" ref="A2">IFERROR(INDEX(Avaluacio[Subfamília],(MATCH(0,INDEX(COUNTIF($A$1:A1,Avaluacio[Subfamília]),0,0)+INDEX(Avaluacio[Avaluable]="No",0,0),0))),"Informació institucional")</f>
        <v>Informació institucional</v>
      </c>
      <c r="B2" s="6">
        <f>COUNTIF(Avaluacio[Subfamília],ResultatsSubfamilia[[#This Row],[Subfamília]])</f>
        <v>15</v>
      </c>
      <c r="C2" s="6">
        <f>COUNTIFS(Avaluacio[Avaluable],"Sí",Avaluacio[Subfamília],ResultatsSubfamilia[[#This Row],[Subfamília]])</f>
        <v>14</v>
      </c>
      <c r="D2" s="6">
        <f>COUNTIFS(Avaluacio[Avaluable],"Sí",Avaluacio[Subfamília],ResultatsSubfamilia[[#This Row],[Subfamília]],Avaluacio[Contingut],"Sí")</f>
        <v>13</v>
      </c>
      <c r="E2" s="6">
        <f>COUNTIFS(Avaluacio[Avaluable],"Sí",Avaluacio[Subfamília],ResultatsSubfamilia[[#This Row],[Subfamília]],Avaluacio[Actualització],"Sí")</f>
        <v>13</v>
      </c>
      <c r="F2" s="8">
        <f>IFERROR(ResultatsSubfamilia[[#This Row],[Contingut (ítems)]]/(COUNTIFS(Avaluacio[Avaluable],"Sí",Avaluacio[Subfamília],ResultatsSubfamilia[[#This Row],[Subfamília]],Avaluacio[Contingut],"Sí")+COUNTIFS(Avaluacio[Avaluable],"Sí",Avaluacio[Subfamília],ResultatsSubfamilia[[#This Row],[Subfamília]],Avaluacio[Contingut],"No")),NA())</f>
        <v>0.9285714285714286</v>
      </c>
      <c r="G2"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0.9285714285714286</v>
      </c>
      <c r="H2"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13</v>
      </c>
      <c r="I2"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2"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1</v>
      </c>
      <c r="K2"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2" s="8">
        <f>IFERROR(AVERAGEIFS(Avaluacio[% compliment],Avaluacio[Avaluable],"Sí",Avaluacio[Subfamília],ResultatsSubfamilia[[#This Row],[Subfamília]]),NA())</f>
        <v>0.9285714285714286</v>
      </c>
    </row>
    <row r="3" spans="1:12" ht="28.5" x14ac:dyDescent="0.2">
      <c r="A3" t="str">
        <f t="array" ref="A3">INDEX(Avaluacio[Subfamília],(MATCH(0,INDEX(COUNTIF($A$1:A2,Avaluacio[Subfamília]),0,0)+INDEX(Avaluacio[Avaluable]="No",0,0),0)))</f>
        <v>Organització política i retribucions</v>
      </c>
      <c r="B3" s="6">
        <f>COUNTIF(Avaluacio[Subfamília],ResultatsSubfamilia[[#This Row],[Subfamília]])</f>
        <v>7</v>
      </c>
      <c r="C3" s="6">
        <f>COUNTIFS(Avaluacio[Avaluable],"Sí",Avaluacio[Subfamília],ResultatsSubfamilia[[#This Row],[Subfamília]])</f>
        <v>7</v>
      </c>
      <c r="D3" s="6">
        <f>COUNTIFS(Avaluacio[Avaluable],"Sí",Avaluacio[Subfamília],ResultatsSubfamilia[[#This Row],[Subfamília]],Avaluacio[Contingut],"Sí")</f>
        <v>5</v>
      </c>
      <c r="E3" s="6">
        <f>COUNTIFS(Avaluacio[Avaluable],"Sí",Avaluacio[Subfamília],ResultatsSubfamilia[[#This Row],[Subfamília]],Avaluacio[Actualització],"Sí")</f>
        <v>5</v>
      </c>
      <c r="F3" s="8">
        <f>IFERROR(ResultatsSubfamilia[[#This Row],[Contingut (ítems)]]/(COUNTIFS(Avaluacio[Avaluable],"Sí",Avaluacio[Subfamília],ResultatsSubfamilia[[#This Row],[Subfamília]],Avaluacio[Contingut],"Sí")+COUNTIFS(Avaluacio[Avaluable],"Sí",Avaluacio[Subfamília],ResultatsSubfamilia[[#This Row],[Subfamília]],Avaluacio[Contingut],"No")),NA())</f>
        <v>0.7142857142857143</v>
      </c>
      <c r="G3"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0.7142857142857143</v>
      </c>
      <c r="H3"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5</v>
      </c>
      <c r="I3"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3"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2</v>
      </c>
      <c r="K3"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3" s="8">
        <f>IFERROR(AVERAGEIFS(Avaluacio[% compliment],Avaluacio[Avaluable],"Sí",Avaluacio[Subfamília],ResultatsSubfamilia[[#This Row],[Subfamília]]),NA())</f>
        <v>0.7142857142857143</v>
      </c>
    </row>
    <row r="4" spans="1:12" x14ac:dyDescent="0.2">
      <c r="A4" t="str">
        <f t="array" ref="A4">INDEX(Avaluacio[Subfamília],(MATCH(0,INDEX(COUNTIF($A$1:A3,Avaluacio[Subfamília]),0,0)+INDEX(Avaluacio[Avaluable]="No",0,0),0)))</f>
        <v>Empleats públics</v>
      </c>
      <c r="B4" s="6">
        <f>COUNTIF(Avaluacio[Subfamília],ResultatsSubfamilia[[#This Row],[Subfamília]])</f>
        <v>12</v>
      </c>
      <c r="C4" s="6">
        <f>COUNTIFS(Avaluacio[Avaluable],"Sí",Avaluacio[Subfamília],ResultatsSubfamilia[[#This Row],[Subfamília]])</f>
        <v>12</v>
      </c>
      <c r="D4" s="6">
        <f>COUNTIFS(Avaluacio[Avaluable],"Sí",Avaluacio[Subfamília],ResultatsSubfamilia[[#This Row],[Subfamília]],Avaluacio[Contingut],"Sí")</f>
        <v>8</v>
      </c>
      <c r="E4" s="6">
        <f>COUNTIFS(Avaluacio[Avaluable],"Sí",Avaluacio[Subfamília],ResultatsSubfamilia[[#This Row],[Subfamília]],Avaluacio[Actualització],"Sí")</f>
        <v>8</v>
      </c>
      <c r="F4" s="8">
        <f>IFERROR(ResultatsSubfamilia[[#This Row],[Contingut (ítems)]]/(COUNTIFS(Avaluacio[Avaluable],"Sí",Avaluacio[Subfamília],ResultatsSubfamilia[[#This Row],[Subfamília]],Avaluacio[Contingut],"Sí")+COUNTIFS(Avaluacio[Avaluable],"Sí",Avaluacio[Subfamília],ResultatsSubfamilia[[#This Row],[Subfamília]],Avaluacio[Contingut],"No")),NA())</f>
        <v>0.66666666666666663</v>
      </c>
      <c r="G4"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0.66666666666666663</v>
      </c>
      <c r="H4"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8</v>
      </c>
      <c r="I4"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4"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4</v>
      </c>
      <c r="K4"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4" s="8">
        <f>IFERROR(AVERAGEIFS(Avaluacio[% compliment],Avaluacio[Avaluable],"Sí",Avaluacio[Subfamília],ResultatsSubfamilia[[#This Row],[Subfamília]]),NA())</f>
        <v>0.66666666666666663</v>
      </c>
    </row>
    <row r="5" spans="1:12" ht="28.5" x14ac:dyDescent="0.2">
      <c r="A5" t="str">
        <f t="array" ref="A5">INDEX(Avaluacio[Subfamília],(MATCH(0,INDEX(COUNTIF($A$1:A4,Avaluacio[Subfamília]),0,0)+INDEX(Avaluacio[Avaluable]="No",0,0),0)))</f>
        <v>Protecció de dades personals</v>
      </c>
      <c r="B5" s="6">
        <f>COUNTIF(Avaluacio[Subfamília],ResultatsSubfamilia[[#This Row],[Subfamília]])</f>
        <v>3</v>
      </c>
      <c r="C5" s="6">
        <f>COUNTIFS(Avaluacio[Avaluable],"Sí",Avaluacio[Subfamília],ResultatsSubfamilia[[#This Row],[Subfamília]])</f>
        <v>3</v>
      </c>
      <c r="D5" s="6">
        <f>COUNTIFS(Avaluacio[Avaluable],"Sí",Avaluacio[Subfamília],ResultatsSubfamilia[[#This Row],[Subfamília]],Avaluacio[Contingut],"Sí")</f>
        <v>3</v>
      </c>
      <c r="E5" s="6">
        <f>COUNTIFS(Avaluacio[Avaluable],"Sí",Avaluacio[Subfamília],ResultatsSubfamilia[[#This Row],[Subfamília]],Avaluacio[Actualització],"Sí")</f>
        <v>3</v>
      </c>
      <c r="F5"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5"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5"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3</v>
      </c>
      <c r="I5"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5"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5"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5" s="8">
        <f>IFERROR(AVERAGEIFS(Avaluacio[% compliment],Avaluacio[Avaluable],"Sí",Avaluacio[Subfamília],ResultatsSubfamilia[[#This Row],[Subfamília]]),NA())</f>
        <v>1</v>
      </c>
    </row>
    <row r="6" spans="1:12" ht="28.5" x14ac:dyDescent="0.2">
      <c r="A6" t="str">
        <f t="array" ref="A6">INDEX(Avaluacio[Subfamília],(MATCH(0,INDEX(COUNTIF($A$1:A5,Avaluacio[Subfamília]),0,0)+INDEX(Avaluacio[Avaluable]="No",0,0),0)))</f>
        <v>Bon Govern i Integritat Pública</v>
      </c>
      <c r="B6" s="6">
        <f>COUNTIF(Avaluacio[Subfamília],ResultatsSubfamilia[[#This Row],[Subfamília]])</f>
        <v>8</v>
      </c>
      <c r="C6" s="6">
        <f>COUNTIFS(Avaluacio[Avaluable],"Sí",Avaluacio[Subfamília],ResultatsSubfamilia[[#This Row],[Subfamília]])</f>
        <v>8</v>
      </c>
      <c r="D6" s="6">
        <f>COUNTIFS(Avaluacio[Avaluable],"Sí",Avaluacio[Subfamília],ResultatsSubfamilia[[#This Row],[Subfamília]],Avaluacio[Contingut],"Sí")</f>
        <v>8</v>
      </c>
      <c r="E6" s="6">
        <f>COUNTIFS(Avaluacio[Avaluable],"Sí",Avaluacio[Subfamília],ResultatsSubfamilia[[#This Row],[Subfamília]],Avaluacio[Actualització],"Sí")</f>
        <v>8</v>
      </c>
      <c r="F6"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6"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6"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8</v>
      </c>
      <c r="I6"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6"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6"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6" s="8">
        <f>IFERROR(AVERAGEIFS(Avaluacio[% compliment],Avaluacio[Avaluable],"Sí",Avaluacio[Subfamília],ResultatsSubfamilia[[#This Row],[Subfamília]]),NA())</f>
        <v>1</v>
      </c>
    </row>
    <row r="7" spans="1:12" ht="28.5" x14ac:dyDescent="0.2">
      <c r="A7" t="str">
        <f t="array" ref="A7">INDEX(Avaluacio[Subfamília],(MATCH(0,INDEX(COUNTIF($A$1:A6,Avaluacio[Subfamília]),0,0)+INDEX(Avaluacio[Avaluable]="No",0,0),0)))</f>
        <v>Acció de govern i grups polítics</v>
      </c>
      <c r="B7" s="6">
        <f>COUNTIF(Avaluacio[Subfamília],ResultatsSubfamilia[[#This Row],[Subfamília]])</f>
        <v>13</v>
      </c>
      <c r="C7" s="6">
        <f>COUNTIFS(Avaluacio[Avaluable],"Sí",Avaluacio[Subfamília],ResultatsSubfamilia[[#This Row],[Subfamília]])</f>
        <v>13</v>
      </c>
      <c r="D7" s="6">
        <f>COUNTIFS(Avaluacio[Avaluable],"Sí",Avaluacio[Subfamília],ResultatsSubfamilia[[#This Row],[Subfamília]],Avaluacio[Contingut],"Sí")</f>
        <v>12</v>
      </c>
      <c r="E7" s="6">
        <f>COUNTIFS(Avaluacio[Avaluable],"Sí",Avaluacio[Subfamília],ResultatsSubfamilia[[#This Row],[Subfamília]],Avaluacio[Actualització],"Sí")</f>
        <v>12</v>
      </c>
      <c r="F7" s="8">
        <f>IFERROR(ResultatsSubfamilia[[#This Row],[Contingut (ítems)]]/(COUNTIFS(Avaluacio[Avaluable],"Sí",Avaluacio[Subfamília],ResultatsSubfamilia[[#This Row],[Subfamília]],Avaluacio[Contingut],"Sí")+COUNTIFS(Avaluacio[Avaluable],"Sí",Avaluacio[Subfamília],ResultatsSubfamilia[[#This Row],[Subfamília]],Avaluacio[Contingut],"No")),NA())</f>
        <v>0.92307692307692313</v>
      </c>
      <c r="G7"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0.92307692307692313</v>
      </c>
      <c r="H7"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12</v>
      </c>
      <c r="I7"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7"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1</v>
      </c>
      <c r="K7"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7" s="8">
        <f>IFERROR(AVERAGEIFS(Avaluacio[% compliment],Avaluacio[Avaluable],"Sí",Avaluacio[Subfamília],ResultatsSubfamilia[[#This Row],[Subfamília]]),NA())</f>
        <v>0.92307692307692313</v>
      </c>
    </row>
    <row r="8" spans="1:12" x14ac:dyDescent="0.2">
      <c r="A8" t="str">
        <f t="array" ref="A8">INDEX(Avaluacio[Subfamília],(MATCH(0,INDEX(COUNTIF($A$1:A7,Avaluacio[Subfamília]),0,0)+INDEX(Avaluacio[Avaluable]="No",0,0),0)))</f>
        <v>Normativa, plans i programes</v>
      </c>
      <c r="B8" s="6">
        <f>COUNTIF(Avaluacio[Subfamília],ResultatsSubfamilia[[#This Row],[Subfamília]])</f>
        <v>11</v>
      </c>
      <c r="C8" s="6">
        <f>COUNTIFS(Avaluacio[Avaluable],"Sí",Avaluacio[Subfamília],ResultatsSubfamilia[[#This Row],[Subfamília]])</f>
        <v>11</v>
      </c>
      <c r="D8" s="6">
        <f>COUNTIFS(Avaluacio[Avaluable],"Sí",Avaluacio[Subfamília],ResultatsSubfamilia[[#This Row],[Subfamília]],Avaluacio[Contingut],"Sí")</f>
        <v>9</v>
      </c>
      <c r="E8" s="6">
        <f>COUNTIFS(Avaluacio[Avaluable],"Sí",Avaluacio[Subfamília],ResultatsSubfamilia[[#This Row],[Subfamília]],Avaluacio[Actualització],"Sí")</f>
        <v>9</v>
      </c>
      <c r="F8" s="8">
        <f>IFERROR(ResultatsSubfamilia[[#This Row],[Contingut (ítems)]]/(COUNTIFS(Avaluacio[Avaluable],"Sí",Avaluacio[Subfamília],ResultatsSubfamilia[[#This Row],[Subfamília]],Avaluacio[Contingut],"Sí")+COUNTIFS(Avaluacio[Avaluable],"Sí",Avaluacio[Subfamília],ResultatsSubfamilia[[#This Row],[Subfamília]],Avaluacio[Contingut],"No")),NA())</f>
        <v>0.81818181818181823</v>
      </c>
      <c r="G8"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0.81818181818181823</v>
      </c>
      <c r="H8"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9</v>
      </c>
      <c r="I8"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8"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2</v>
      </c>
      <c r="K8"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8" s="8">
        <f>IFERROR(AVERAGEIFS(Avaluacio[% compliment],Avaluacio[Avaluable],"Sí",Avaluacio[Subfamília],ResultatsSubfamilia[[#This Row],[Subfamília]]),NA())</f>
        <v>0.81818181818181823</v>
      </c>
    </row>
    <row r="9" spans="1:12" ht="28.5" x14ac:dyDescent="0.2">
      <c r="A9" t="str">
        <f t="array" ref="A9">INDEX(Avaluacio[Subfamília],(MATCH(0,INDEX(COUNTIF($A$1:A8,Avaluacio[Subfamília]),0,0)+INDEX(Avaluacio[Avaluable]="No",0,0),0)))</f>
        <v>Urbanisme</v>
      </c>
      <c r="B9" s="6">
        <f>COUNTIF(Avaluacio[Subfamília],ResultatsSubfamilia[[#This Row],[Subfamília]])</f>
        <v>5</v>
      </c>
      <c r="C9" s="6">
        <f>COUNTIFS(Avaluacio[Avaluable],"Sí",Avaluacio[Subfamília],ResultatsSubfamilia[[#This Row],[Subfamília]])</f>
        <v>5</v>
      </c>
      <c r="D9" s="6">
        <f>COUNTIFS(Avaluacio[Avaluable],"Sí",Avaluacio[Subfamília],ResultatsSubfamilia[[#This Row],[Subfamília]],Avaluacio[Contingut],"Sí")</f>
        <v>5</v>
      </c>
      <c r="E9" s="6">
        <f>COUNTIFS(Avaluacio[Avaluable],"Sí",Avaluacio[Subfamília],ResultatsSubfamilia[[#This Row],[Subfamília]],Avaluacio[Actualització],"Sí")</f>
        <v>5</v>
      </c>
      <c r="F9"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9"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9"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5</v>
      </c>
      <c r="I9"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9"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9"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9" s="8">
        <f>IFERROR(AVERAGEIFS(Avaluacio[% compliment],Avaluacio[Avaluable],"Sí",Avaluacio[Subfamília],ResultatsSubfamilia[[#This Row],[Subfamília]]),NA())</f>
        <v>1</v>
      </c>
    </row>
    <row r="10" spans="1:12" ht="28.5" x14ac:dyDescent="0.2">
      <c r="A10" t="str">
        <f t="array" ref="A10">INDEX(Avaluacio[Subfamília],(MATCH(0,INDEX(COUNTIF($A$1:A9,Avaluacio[Subfamília]),0,0)+INDEX(Avaluacio[Avaluable]="No",0,0),0)))</f>
        <v>Gestió documental i arxiu</v>
      </c>
      <c r="B10" s="6">
        <f>COUNTIF(Avaluacio[Subfamília],ResultatsSubfamilia[[#This Row],[Subfamília]])</f>
        <v>4</v>
      </c>
      <c r="C10" s="6">
        <f>COUNTIFS(Avaluacio[Avaluable],"Sí",Avaluacio[Subfamília],ResultatsSubfamilia[[#This Row],[Subfamília]])</f>
        <v>4</v>
      </c>
      <c r="D10" s="6">
        <f>COUNTIFS(Avaluacio[Avaluable],"Sí",Avaluacio[Subfamília],ResultatsSubfamilia[[#This Row],[Subfamília]],Avaluacio[Contingut],"Sí")</f>
        <v>4</v>
      </c>
      <c r="E10" s="6">
        <f>COUNTIFS(Avaluacio[Avaluable],"Sí",Avaluacio[Subfamília],ResultatsSubfamilia[[#This Row],[Subfamília]],Avaluacio[Actualització],"Sí")</f>
        <v>4</v>
      </c>
      <c r="F10"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10"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10"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4</v>
      </c>
      <c r="I10"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0"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0"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0" s="8">
        <f>IFERROR(AVERAGEIFS(Avaluacio[% compliment],Avaluacio[Avaluable],"Sí",Avaluacio[Subfamília],ResultatsSubfamilia[[#This Row],[Subfamília]]),NA())</f>
        <v>1</v>
      </c>
    </row>
    <row r="11" spans="1:12" ht="28.5" x14ac:dyDescent="0.2">
      <c r="A11" t="str">
        <f t="array" ref="A11">INDEX(Avaluacio[Subfamília],(MATCH(0,INDEX(COUNTIF($A$1:A10,Avaluacio[Subfamília]),0,0)+INDEX(Avaluacio[Avaluable]="No",0,0),0)))</f>
        <v>Relació de contractes</v>
      </c>
      <c r="B11" s="6">
        <f>COUNTIF(Avaluacio[Subfamília],ResultatsSubfamilia[[#This Row],[Subfamília]])</f>
        <v>7</v>
      </c>
      <c r="C11" s="6">
        <f>COUNTIFS(Avaluacio[Avaluable],"Sí",Avaluacio[Subfamília],ResultatsSubfamilia[[#This Row],[Subfamília]])</f>
        <v>7</v>
      </c>
      <c r="D11" s="6">
        <f>COUNTIFS(Avaluacio[Avaluable],"Sí",Avaluacio[Subfamília],ResultatsSubfamilia[[#This Row],[Subfamília]],Avaluacio[Contingut],"Sí")</f>
        <v>6</v>
      </c>
      <c r="E11" s="6">
        <f>COUNTIFS(Avaluacio[Avaluable],"Sí",Avaluacio[Subfamília],ResultatsSubfamilia[[#This Row],[Subfamília]],Avaluacio[Actualització],"Sí")</f>
        <v>7</v>
      </c>
      <c r="F11" s="8">
        <f>IFERROR(ResultatsSubfamilia[[#This Row],[Contingut (ítems)]]/(COUNTIFS(Avaluacio[Avaluable],"Sí",Avaluacio[Subfamília],ResultatsSubfamilia[[#This Row],[Subfamília]],Avaluacio[Contingut],"Sí")+COUNTIFS(Avaluacio[Avaluable],"Sí",Avaluacio[Subfamília],ResultatsSubfamilia[[#This Row],[Subfamília]],Avaluacio[Contingut],"No")),NA())</f>
        <v>0.8571428571428571</v>
      </c>
      <c r="G11"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11"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6</v>
      </c>
      <c r="I11" s="6">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1</v>
      </c>
      <c r="J11"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1"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1" s="8">
        <f>IFERROR(AVERAGEIFS(Avaluacio[% compliment],Avaluacio[Avaluable],"Sí",Avaluacio[Subfamília],ResultatsSubfamilia[[#This Row],[Subfamília]]),NA())</f>
        <v>0.9285714285714286</v>
      </c>
    </row>
    <row r="12" spans="1:12" ht="28.5" x14ac:dyDescent="0.2">
      <c r="A12" t="str">
        <f t="array" ref="A12">INDEX(Avaluacio[Subfamília],(MATCH(0,INDEX(COUNTIF($A$1:A11,Avaluacio[Subfamília]),0,0)+INDEX(Avaluacio[Avaluable]="No",0,0),0)))</f>
        <v>Informació de la contractació pública</v>
      </c>
      <c r="B12" s="6">
        <f>COUNTIF(Avaluacio[Subfamília],ResultatsSubfamilia[[#This Row],[Subfamília]])</f>
        <v>8</v>
      </c>
      <c r="C12" s="6">
        <f>COUNTIFS(Avaluacio[Avaluable],"Sí",Avaluacio[Subfamília],ResultatsSubfamilia[[#This Row],[Subfamília]])</f>
        <v>8</v>
      </c>
      <c r="D12" s="6">
        <f>COUNTIFS(Avaluacio[Avaluable],"Sí",Avaluacio[Subfamília],ResultatsSubfamilia[[#This Row],[Subfamília]],Avaluacio[Contingut],"Sí")</f>
        <v>8</v>
      </c>
      <c r="E12" s="6">
        <f>COUNTIFS(Avaluacio[Avaluable],"Sí",Avaluacio[Subfamília],ResultatsSubfamilia[[#This Row],[Subfamília]],Avaluacio[Actualització],"Sí")</f>
        <v>8</v>
      </c>
      <c r="F12"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12"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12"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8</v>
      </c>
      <c r="I12"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2"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2"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2" s="8">
        <f>IFERROR(AVERAGEIFS(Avaluacio[% compliment],Avaluacio[Avaluable],"Sí",Avaluacio[Subfamília],ResultatsSubfamilia[[#This Row],[Subfamília]]),NA())</f>
        <v>1</v>
      </c>
    </row>
    <row r="13" spans="1:12" ht="28.5" x14ac:dyDescent="0.2">
      <c r="A13" t="str">
        <f t="array" ref="A13">INDEX(Avaluacio[Subfamília],(MATCH(0,INDEX(COUNTIF($A$1:A12,Avaluacio[Subfamília]),0,0)+INDEX(Avaluacio[Avaluable]="No",0,0),0)))</f>
        <v>Convenis i subvencions</v>
      </c>
      <c r="B13" s="6">
        <f>COUNTIF(Avaluacio[Subfamília],ResultatsSubfamilia[[#This Row],[Subfamília]])</f>
        <v>7</v>
      </c>
      <c r="C13" s="6">
        <f>COUNTIFS(Avaluacio[Avaluable],"Sí",Avaluacio[Subfamília],ResultatsSubfamilia[[#This Row],[Subfamília]])</f>
        <v>7</v>
      </c>
      <c r="D13" s="6">
        <f>COUNTIFS(Avaluacio[Avaluable],"Sí",Avaluacio[Subfamília],ResultatsSubfamilia[[#This Row],[Subfamília]],Avaluacio[Contingut],"Sí")</f>
        <v>5</v>
      </c>
      <c r="E13" s="6">
        <f>COUNTIFS(Avaluacio[Avaluable],"Sí",Avaluacio[Subfamília],ResultatsSubfamilia[[#This Row],[Subfamília]],Avaluacio[Actualització],"Sí")</f>
        <v>5</v>
      </c>
      <c r="F13" s="8">
        <f>IFERROR(ResultatsSubfamilia[[#This Row],[Contingut (ítems)]]/(COUNTIFS(Avaluacio[Avaluable],"Sí",Avaluacio[Subfamília],ResultatsSubfamilia[[#This Row],[Subfamília]],Avaluacio[Contingut],"Sí")+COUNTIFS(Avaluacio[Avaluable],"Sí",Avaluacio[Subfamília],ResultatsSubfamilia[[#This Row],[Subfamília]],Avaluacio[Contingut],"No")),NA())</f>
        <v>0.7142857142857143</v>
      </c>
      <c r="G13"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0.7142857142857143</v>
      </c>
      <c r="H13"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5</v>
      </c>
      <c r="I13"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3"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2</v>
      </c>
      <c r="K13"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3" s="8">
        <f>IFERROR(AVERAGEIFS(Avaluacio[% compliment],Avaluacio[Avaluable],"Sí",Avaluacio[Subfamília],ResultatsSubfamilia[[#This Row],[Subfamília]]),NA())</f>
        <v>0.7142857142857143</v>
      </c>
    </row>
    <row r="14" spans="1:12" x14ac:dyDescent="0.2">
      <c r="A14" t="str">
        <f t="array" ref="A14">INDEX(Avaluacio[Subfamília],(MATCH(0,INDEX(COUNTIF($A$1:A13,Avaluacio[Subfamília]),0,0)+INDEX(Avaluacio[Avaluable]="No",0,0),0)))</f>
        <v>Pressupost</v>
      </c>
      <c r="B14" s="6">
        <f>COUNTIF(Avaluacio[Subfamília],ResultatsSubfamilia[[#This Row],[Subfamília]])</f>
        <v>7</v>
      </c>
      <c r="C14" s="6">
        <f>COUNTIFS(Avaluacio[Avaluable],"Sí",Avaluacio[Subfamília],ResultatsSubfamilia[[#This Row],[Subfamília]])</f>
        <v>7</v>
      </c>
      <c r="D14" s="6">
        <f>COUNTIFS(Avaluacio[Avaluable],"Sí",Avaluacio[Subfamília],ResultatsSubfamilia[[#This Row],[Subfamília]],Avaluacio[Contingut],"Sí")</f>
        <v>7</v>
      </c>
      <c r="E14" s="6">
        <f>COUNTIFS(Avaluacio[Avaluable],"Sí",Avaluacio[Subfamília],ResultatsSubfamilia[[#This Row],[Subfamília]],Avaluacio[Actualització],"Sí")</f>
        <v>7</v>
      </c>
      <c r="F14"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14"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14"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7</v>
      </c>
      <c r="I14"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4"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4"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4" s="8">
        <f>IFERROR(AVERAGEIFS(Avaluacio[% compliment],Avaluacio[Avaluable],"Sí",Avaluacio[Subfamília],ResultatsSubfamilia[[#This Row],[Subfamília]]),NA())</f>
        <v>1</v>
      </c>
    </row>
    <row r="15" spans="1:12" x14ac:dyDescent="0.2">
      <c r="A15" t="str">
        <f t="array" ref="A15">INDEX(Avaluacio[Subfamília],(MATCH(0,INDEX(COUNTIF($A$1:A14,Avaluacio[Subfamília]),0,0)+INDEX(Avaluacio[Avaluable]="No",0,0),0)))</f>
        <v>Gestió econòmica</v>
      </c>
      <c r="B15" s="6">
        <f>COUNTIF(Avaluacio[Subfamília],ResultatsSubfamilia[[#This Row],[Subfamília]])</f>
        <v>6</v>
      </c>
      <c r="C15" s="6">
        <f>COUNTIFS(Avaluacio[Avaluable],"Sí",Avaluacio[Subfamília],ResultatsSubfamilia[[#This Row],[Subfamília]])</f>
        <v>6</v>
      </c>
      <c r="D15" s="6">
        <f>COUNTIFS(Avaluacio[Avaluable],"Sí",Avaluacio[Subfamília],ResultatsSubfamilia[[#This Row],[Subfamília]],Avaluacio[Contingut],"Sí")</f>
        <v>6</v>
      </c>
      <c r="E15" s="6">
        <f>COUNTIFS(Avaluacio[Avaluable],"Sí",Avaluacio[Subfamília],ResultatsSubfamilia[[#This Row],[Subfamília]],Avaluacio[Actualització],"Sí")</f>
        <v>6</v>
      </c>
      <c r="F15"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15"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15"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6</v>
      </c>
      <c r="I15"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5"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5"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5" s="8">
        <f>IFERROR(AVERAGEIFS(Avaluacio[% compliment],Avaluacio[Avaluable],"Sí",Avaluacio[Subfamília],ResultatsSubfamilia[[#This Row],[Subfamília]]),NA())</f>
        <v>1</v>
      </c>
    </row>
    <row r="16" spans="1:12" x14ac:dyDescent="0.2">
      <c r="A16" t="str">
        <f t="array" ref="A16">INDEX(Avaluacio[Subfamília],(MATCH(0,INDEX(COUNTIF($A$1:A15,Avaluacio[Subfamília]),0,0)+INDEX(Avaluacio[Avaluable]="No",0,0),0)))</f>
        <v>Patrimoni</v>
      </c>
      <c r="B16" s="6">
        <f>COUNTIF(Avaluacio[Subfamília],ResultatsSubfamilia[[#This Row],[Subfamília]])</f>
        <v>4</v>
      </c>
      <c r="C16" s="6">
        <f>COUNTIFS(Avaluacio[Avaluable],"Sí",Avaluacio[Subfamília],ResultatsSubfamilia[[#This Row],[Subfamília]])</f>
        <v>4</v>
      </c>
      <c r="D16" s="6">
        <f>COUNTIFS(Avaluacio[Avaluable],"Sí",Avaluacio[Subfamília],ResultatsSubfamilia[[#This Row],[Subfamília]],Avaluacio[Contingut],"Sí")</f>
        <v>2</v>
      </c>
      <c r="E16" s="6">
        <f>COUNTIFS(Avaluacio[Avaluable],"Sí",Avaluacio[Subfamília],ResultatsSubfamilia[[#This Row],[Subfamília]],Avaluacio[Actualització],"Sí")</f>
        <v>2</v>
      </c>
      <c r="F16" s="8">
        <f>IFERROR(ResultatsSubfamilia[[#This Row],[Contingut (ítems)]]/(COUNTIFS(Avaluacio[Avaluable],"Sí",Avaluacio[Subfamília],ResultatsSubfamilia[[#This Row],[Subfamília]],Avaluacio[Contingut],"Sí")+COUNTIFS(Avaluacio[Avaluable],"Sí",Avaluacio[Subfamília],ResultatsSubfamilia[[#This Row],[Subfamília]],Avaluacio[Contingut],"No")),NA())</f>
        <v>0.5</v>
      </c>
      <c r="G16"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0.5</v>
      </c>
      <c r="H16"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2</v>
      </c>
      <c r="I16"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6"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2</v>
      </c>
      <c r="K16"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6" s="8">
        <f>IFERROR(AVERAGEIFS(Avaluacio[% compliment],Avaluacio[Avaluable],"Sí",Avaluacio[Subfamília],ResultatsSubfamilia[[#This Row],[Subfamília]]),NA())</f>
        <v>0.5</v>
      </c>
    </row>
    <row r="17" spans="1:12" x14ac:dyDescent="0.2">
      <c r="A17" t="str">
        <f t="array" ref="A17">INDEX(Avaluacio[Subfamília],(MATCH(0,INDEX(COUNTIF($A$1:A16,Avaluacio[Subfamília]),0,0)+INDEX(Avaluacio[Avaluable]="No",0,0),0)))</f>
        <v>Estat dels serveis</v>
      </c>
      <c r="B17" s="6">
        <f>COUNTIF(Avaluacio[Subfamília],ResultatsSubfamilia[[#This Row],[Subfamília]])</f>
        <v>7</v>
      </c>
      <c r="C17" s="6">
        <f>COUNTIFS(Avaluacio[Avaluable],"Sí",Avaluacio[Subfamília],ResultatsSubfamilia[[#This Row],[Subfamília]])</f>
        <v>7</v>
      </c>
      <c r="D17" s="6">
        <f>COUNTIFS(Avaluacio[Avaluable],"Sí",Avaluacio[Subfamília],ResultatsSubfamilia[[#This Row],[Subfamília]],Avaluacio[Contingut],"Sí")</f>
        <v>5</v>
      </c>
      <c r="E17" s="6">
        <f>COUNTIFS(Avaluacio[Avaluable],"Sí",Avaluacio[Subfamília],ResultatsSubfamilia[[#This Row],[Subfamília]],Avaluacio[Actualització],"Sí")</f>
        <v>5</v>
      </c>
      <c r="F17" s="8">
        <f>IFERROR(ResultatsSubfamilia[[#This Row],[Contingut (ítems)]]/(COUNTIFS(Avaluacio[Avaluable],"Sí",Avaluacio[Subfamília],ResultatsSubfamilia[[#This Row],[Subfamília]],Avaluacio[Contingut],"Sí")+COUNTIFS(Avaluacio[Avaluable],"Sí",Avaluacio[Subfamília],ResultatsSubfamilia[[#This Row],[Subfamília]],Avaluacio[Contingut],"No")),NA())</f>
        <v>0.7142857142857143</v>
      </c>
      <c r="G17"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0.7142857142857143</v>
      </c>
      <c r="H17"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5</v>
      </c>
      <c r="I17"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7"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2</v>
      </c>
      <c r="K17"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7" s="8">
        <f>IFERROR(AVERAGEIFS(Avaluacio[% compliment],Avaluacio[Avaluable],"Sí",Avaluacio[Subfamília],ResultatsSubfamilia[[#This Row],[Subfamília]]),NA())</f>
        <v>0.7142857142857143</v>
      </c>
    </row>
    <row r="18" spans="1:12" x14ac:dyDescent="0.2">
      <c r="A18" t="str">
        <f t="array" ref="A18">INDEX(Avaluacio[Subfamília],(MATCH(0,INDEX(COUNTIF($A$1:A17,Avaluacio[Subfamília]),0,0)+INDEX(Avaluacio[Avaluable]="No",0,0),0)))</f>
        <v>Serveis</v>
      </c>
      <c r="B18" s="6">
        <f>COUNTIF(Avaluacio[Subfamília],ResultatsSubfamilia[[#This Row],[Subfamília]])</f>
        <v>4</v>
      </c>
      <c r="C18" s="6">
        <f>COUNTIFS(Avaluacio[Avaluable],"Sí",Avaluacio[Subfamília],ResultatsSubfamilia[[#This Row],[Subfamília]])</f>
        <v>4</v>
      </c>
      <c r="D18" s="6">
        <f>COUNTIFS(Avaluacio[Avaluable],"Sí",Avaluacio[Subfamília],ResultatsSubfamilia[[#This Row],[Subfamília]],Avaluacio[Contingut],"Sí")</f>
        <v>3</v>
      </c>
      <c r="E18" s="6">
        <f>COUNTIFS(Avaluacio[Avaluable],"Sí",Avaluacio[Subfamília],ResultatsSubfamilia[[#This Row],[Subfamília]],Avaluacio[Actualització],"Sí")</f>
        <v>3</v>
      </c>
      <c r="F18" s="8">
        <f>IFERROR(ResultatsSubfamilia[[#This Row],[Contingut (ítems)]]/(COUNTIFS(Avaluacio[Avaluable],"Sí",Avaluacio[Subfamília],ResultatsSubfamilia[[#This Row],[Subfamília]],Avaluacio[Contingut],"Sí")+COUNTIFS(Avaluacio[Avaluable],"Sí",Avaluacio[Subfamília],ResultatsSubfamilia[[#This Row],[Subfamília]],Avaluacio[Contingut],"No")),NA())</f>
        <v>0.75</v>
      </c>
      <c r="G18"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0.75</v>
      </c>
      <c r="H18"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3</v>
      </c>
      <c r="I18"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8"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1</v>
      </c>
      <c r="K18"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8" s="8">
        <f>IFERROR(AVERAGEIFS(Avaluacio[% compliment],Avaluacio[Avaluable],"Sí",Avaluacio[Subfamília],ResultatsSubfamilia[[#This Row],[Subfamília]]),NA())</f>
        <v>0.75</v>
      </c>
    </row>
    <row r="19" spans="1:12" x14ac:dyDescent="0.2">
      <c r="A19" t="str">
        <f t="array" ref="A19">INDEX(Avaluacio[Subfamília],(MATCH(0,INDEX(COUNTIF($A$1:A18,Avaluacio[Subfamília]),0,0)+INDEX(Avaluacio[Avaluable]="No",0,0),0)))</f>
        <v>Tràmits</v>
      </c>
      <c r="B19" s="6">
        <f>COUNTIF(Avaluacio[Subfamília],ResultatsSubfamilia[[#This Row],[Subfamília]])</f>
        <v>12</v>
      </c>
      <c r="C19" s="6">
        <f>COUNTIFS(Avaluacio[Avaluable],"Sí",Avaluacio[Subfamília],ResultatsSubfamilia[[#This Row],[Subfamília]])</f>
        <v>12</v>
      </c>
      <c r="D19" s="6">
        <f>COUNTIFS(Avaluacio[Avaluable],"Sí",Avaluacio[Subfamília],ResultatsSubfamilia[[#This Row],[Subfamília]],Avaluacio[Contingut],"Sí")</f>
        <v>12</v>
      </c>
      <c r="E19" s="6">
        <f>COUNTIFS(Avaluacio[Avaluable],"Sí",Avaluacio[Subfamília],ResultatsSubfamilia[[#This Row],[Subfamília]],Avaluacio[Actualització],"Sí")</f>
        <v>12</v>
      </c>
      <c r="F19" s="8">
        <f>IFERROR(ResultatsSubfamilia[[#This Row],[Contingut (ítems)]]/(COUNTIFS(Avaluacio[Avaluable],"Sí",Avaluacio[Subfamília],ResultatsSubfamilia[[#This Row],[Subfamília]],Avaluacio[Contingut],"Sí")+COUNTIFS(Avaluacio[Avaluable],"Sí",Avaluacio[Subfamília],ResultatsSubfamilia[[#This Row],[Subfamília]],Avaluacio[Contingut],"No")),NA())</f>
        <v>1</v>
      </c>
      <c r="G19"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1</v>
      </c>
      <c r="H19"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12</v>
      </c>
      <c r="I19"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19" s="6" t="e">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#N/A</v>
      </c>
      <c r="K19"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19" s="8">
        <f>IFERROR(AVERAGEIFS(Avaluacio[% compliment],Avaluacio[Avaluable],"Sí",Avaluacio[Subfamília],ResultatsSubfamilia[[#This Row],[Subfamília]]),NA())</f>
        <v>1</v>
      </c>
    </row>
    <row r="20" spans="1:12" x14ac:dyDescent="0.2">
      <c r="A20" t="str" cm="1">
        <f t="array" ref="A20">INDEX(Avaluacio[Subfamília],(MATCH(0,INDEX(COUNTIF($A$1:A19,Avaluacio[Subfamília]),0,0)+INDEX(Avaluacio[Avaluable]="No",0,0),0)))</f>
        <v>Participació</v>
      </c>
      <c r="B20" s="6">
        <f>COUNTIF(Avaluacio[Subfamília],ResultatsSubfamilia[[#This Row],[Subfamília]])</f>
        <v>7</v>
      </c>
      <c r="C20" s="6">
        <f>COUNTIFS(Avaluacio[Avaluable],"Sí",Avaluacio[Subfamília],ResultatsSubfamilia[[#This Row],[Subfamília]],Avaluacio[Grau de compliment],"&lt;&gt;No aplicable")</f>
        <v>7</v>
      </c>
      <c r="D20" s="6">
        <f>COUNTIFS(Avaluacio[Avaluable],"Sí",Avaluacio[Subfamília],ResultatsSubfamilia[[#This Row],[Subfamília]],Avaluacio[Contingut],"Sí")</f>
        <v>6</v>
      </c>
      <c r="E20" s="6">
        <f>COUNTIFS(Avaluacio[Avaluable],"Sí",Avaluacio[Subfamília],ResultatsSubfamilia[[#This Row],[Subfamília]],Avaluacio[Actualització],"Sí")</f>
        <v>6</v>
      </c>
      <c r="F20" s="8">
        <f>IFERROR(ResultatsSubfamilia[[#This Row],[Contingut (ítems)]]/(COUNTIFS(Avaluacio[Avaluable],"Sí",Avaluacio[Subfamília],ResultatsSubfamilia[[#This Row],[Subfamília]],Avaluacio[Contingut],"Sí")+COUNTIFS(Avaluacio[Avaluable],"Sí",Avaluacio[Subfamília],ResultatsSubfamilia[[#This Row],[Subfamília]],Avaluacio[Contingut],"No")),NA())</f>
        <v>0.8571428571428571</v>
      </c>
      <c r="G20" s="8">
        <f>IFERROR(ResultatsSubfamilia[[#This Row],[Actualització (ítems)]]/(COUNTIFS(Avaluacio[Avaluable],"Sí",Avaluacio[Subfamília],ResultatsSubfamilia[[#This Row],[Subfamília]],Avaluacio[Actualització],"Sí")+COUNTIFS(Avaluacio[Avaluable],"Sí",Avaluacio[Subfamília],ResultatsSubfamilia[[#This Row],[Subfamília]],Avaluacio[Actualització],"No")),NA())</f>
        <v>0.8571428571428571</v>
      </c>
      <c r="H20" s="6">
        <f>IF(COUNTIFS(Avaluacio[Avaluable],"Sí",Avaluacio[Subfamília],ResultatsSubfamilia[[#This Row],[Subfamília]],Avaluacio[Grau de compliment],ResultatsSubfamilia[[#Headers],[Compleix totalment]])=0,NA(),COUNTIFS(Avaluacio[Avaluable],"Sí",Avaluacio[Subfamília],ResultatsSubfamilia[[#This Row],[Subfamília]],Avaluacio[Grau de compliment],ResultatsSubfamilia[[#Headers],[Compleix totalment]]))</f>
        <v>6</v>
      </c>
      <c r="I20" s="6" t="e">
        <f>IF(COUNTIFS(Avaluacio[Avaluable],"Sí",Avaluacio[Subfamília],ResultatsSubfamilia[[#This Row],[Subfamília]],Avaluacio[Grau de compliment],ResultatsSubfamilia[[#Headers],[Compleix parcialment]])=0,NA(),COUNTIFS(Avaluacio[Avaluable],"Sí",Avaluacio[Subfamília],ResultatsSubfamilia[[#This Row],[Subfamília]],Avaluacio[Grau de compliment],ResultatsSubfamilia[[#Headers],[Compleix parcialment]]))</f>
        <v>#N/A</v>
      </c>
      <c r="J20" s="6">
        <f>IF(COUNTIFS(Avaluacio[Avaluable],"Sí",Avaluacio[Subfamília],ResultatsSubfamilia[[#This Row],[Subfamília]],Avaluacio[Grau de compliment],ResultatsSubfamilia[[#Headers],[No compleix]])=0,NA(),COUNTIFS(Avaluacio[Avaluable],"Sí",Avaluacio[Subfamília],ResultatsSubfamilia[[#This Row],[Subfamília]],Avaluacio[Grau de compliment],ResultatsSubfamilia[[#Headers],[No compleix]]))</f>
        <v>1</v>
      </c>
      <c r="K20" s="6" t="e">
        <f>IF(COUNTIFS(Avaluacio[Avaluable],"Sí",Avaluacio[Subfamília],ResultatsSubfamilia[[#This Row],[Subfamília]],Avaluacio[Grau de compliment],ResultatsSubfamilia[[#Headers],[No aplicable]])=0,NA(),COUNTIFS(Avaluacio[Avaluable],"Sí",Avaluacio[Subfamília],ResultatsSubfamilia[[#This Row],[Subfamília]],Avaluacio[Grau de compliment],ResultatsSubfamilia[[#Headers],[No aplicable]]))</f>
        <v>#N/A</v>
      </c>
      <c r="L20" s="8">
        <f>IFERROR(AVERAGEIFS(Avaluacio[% compliment],Avaluacio[Avaluable],"Sí",Avaluacio[Subfamília],ResultatsSubfamilia[[#This Row],[Subfamília]]),NA())</f>
        <v>0.8571428571428571</v>
      </c>
    </row>
    <row r="21" spans="1:12" ht="15" x14ac:dyDescent="0.2">
      <c r="B21" s="6">
        <f>SUBTOTAL(109,ResultatsSubfamilia[Total ítems])</f>
        <v>147</v>
      </c>
      <c r="C21" s="6">
        <f>SUBTOTAL(109,ResultatsSubfamilia[Ítems avaluats])</f>
        <v>146</v>
      </c>
      <c r="D21" s="6">
        <f>SUBTOTAL(109,ResultatsSubfamilia[Contingut (ítems)])</f>
        <v>127</v>
      </c>
      <c r="E21" s="6">
        <f>SUBTOTAL(109,ResultatsSubfamilia[Actualització (ítems)])</f>
        <v>128</v>
      </c>
      <c r="F21" s="19">
        <f>IFERROR(ResultatsSubfamilia[[#Totals],[Contingut (ítems)]]/(COUNTIFS(Avaluacio[Avaluable],"Sí",Avaluacio[Contingut],"Sí")+COUNTIFS(Avaluacio[Avaluable],"Sí",Avaluacio[Contingut],"No")),NA())</f>
        <v>0.86986301369863017</v>
      </c>
      <c r="G21" s="19">
        <f>IFERROR(ResultatsSubfamilia[[#Totals],[Actualització (ítems)]]/(COUNTIFS(Avaluacio[Avaluable],"Sí",Avaluacio[Actualització],"Sí")+COUNTIFS(Avaluacio[Avaluable],"Sí",Avaluacio[Actualització],"No")),NA())</f>
        <v>0.87671232876712324</v>
      </c>
      <c r="H21" s="6">
        <f>IFERROR(SUBTOTAL(109,ResultatsSubfamilia[Compleix totalment]),NA())</f>
        <v>127</v>
      </c>
      <c r="I21" s="6" t="e">
        <f>IFERROR(SUBTOTAL(109,ResultatsSubfamilia[Compleix parcialment]),NA())</f>
        <v>#N/A</v>
      </c>
      <c r="J21" s="6" t="e">
        <f>IFERROR(SUBTOTAL(109,ResultatsSubfamilia[No compleix]),NA())</f>
        <v>#N/A</v>
      </c>
      <c r="K21" s="6" t="e">
        <f>IFERROR(SUBTOTAL(109,ResultatsSubfamilia[No aplicable]),NA())</f>
        <v>#N/A</v>
      </c>
      <c r="L21" s="19">
        <f>IFERROR(AVERAGEIFS(Avaluacio[% compliment],Avaluacio[Avaluable],"Sí"),NA())</f>
        <v>0.87328767123287676</v>
      </c>
    </row>
    <row r="23" spans="1:12" s="11" customFormat="1" ht="30" x14ac:dyDescent="0.2">
      <c r="A23" s="10" t="s">
        <v>651</v>
      </c>
      <c r="B23" s="8" t="s">
        <v>919</v>
      </c>
      <c r="C23" s="8" t="s">
        <v>920</v>
      </c>
      <c r="D23" s="8" t="s">
        <v>934</v>
      </c>
      <c r="E23" s="8" t="s">
        <v>935</v>
      </c>
      <c r="F23" s="8" t="s">
        <v>640</v>
      </c>
      <c r="G23" s="8" t="s">
        <v>641</v>
      </c>
      <c r="H23" s="8" t="s">
        <v>921</v>
      </c>
      <c r="I23" s="8" t="s">
        <v>643</v>
      </c>
      <c r="J23" s="8" t="s">
        <v>630</v>
      </c>
      <c r="K23" s="8" t="s">
        <v>922</v>
      </c>
      <c r="L23" s="8" t="s">
        <v>655</v>
      </c>
    </row>
    <row r="24" spans="1:12" ht="42.75" x14ac:dyDescent="0.2">
      <c r="A24" t="str">
        <f t="array" ref="A24">IFERROR(INDEX(Avaluacio[Família],(MATCH(0,INDEX(COUNTIF($A$23:A23,Avaluacio[Família]),0,0)+INDEX(Avaluacio[Avaluable]="No",0,0),0))),"Informació institucional i organitzativa")</f>
        <v>Informació institucional i organitzativa</v>
      </c>
      <c r="B24" s="6">
        <f>COUNTIF(Avaluacio[Família],ResultatsFamilia[[#This Row],[Família]])</f>
        <v>45</v>
      </c>
      <c r="C24" s="6">
        <f>COUNTIFS(Avaluacio[Avaluable],"Sí",Avaluacio[Família],ResultatsFamilia[[#This Row],[Família]])</f>
        <v>44</v>
      </c>
      <c r="D24" s="6">
        <f>COUNTIFS(Avaluacio[Avaluable],"Sí",Avaluacio[Família],ResultatsFamilia[[#This Row],[Família]],Avaluacio[Contingut],"Sí")</f>
        <v>37</v>
      </c>
      <c r="E24" s="6">
        <f>COUNTIFS(Avaluacio[Avaluable],"Sí",Avaluacio[Família],ResultatsFamilia[[#This Row],[Família]],Avaluacio[Actualització],"Sí")</f>
        <v>37</v>
      </c>
      <c r="F24" s="8">
        <f>IFERROR(ResultatsFamilia[[#This Row],[Contingut (ítems)]]/(COUNTIFS(Avaluacio[Avaluable],"Sí",Avaluacio[Família],ResultatsFamilia[[#This Row],[Família]],Avaluacio[Contingut],"Sí")+COUNTIFS(Avaluacio[Avaluable],"Sí",Avaluacio[Família],ResultatsFamilia[[#This Row],[Família]],Avaluacio[Contingut],"No")),NA())</f>
        <v>0.84090909090909094</v>
      </c>
      <c r="G24" s="8">
        <f>IFERROR(ResultatsFamilia[[#This Row],[Actualització (ítems)]]/(COUNTIFS(Avaluacio[Avaluable],"Sí",Avaluacio[Família],ResultatsFamilia[[#This Row],[Família]],Avaluacio[Actualització],"Sí")+COUNTIFS(Avaluacio[Avaluable],"Sí",Avaluacio[Família],ResultatsFamilia[[#This Row],[Família]],Avaluacio[Actualització],"No")),NA())</f>
        <v>0.84090909090909094</v>
      </c>
      <c r="H24"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37</v>
      </c>
      <c r="I24"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4"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7</v>
      </c>
      <c r="K24"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4" s="8">
        <f>IFERROR(AVERAGEIFS(Avaluacio[% compliment],Avaluacio[Avaluable],"Sí",Avaluacio[Família],ResultatsFamilia[[#This Row],[Família]]),NA())</f>
        <v>0.84090909090909094</v>
      </c>
    </row>
    <row r="25" spans="1:12" ht="28.5" x14ac:dyDescent="0.2">
      <c r="A25" t="str">
        <f t="array" ref="A25">INDEX(Avaluacio[Família],(MATCH(0,INDEX(COUNTIF($A$23:A24,Avaluacio[Família]),0,0)+INDEX(Avaluacio[Avaluable]="No",0,0),0)))</f>
        <v>Acció de govern i normativa</v>
      </c>
      <c r="B25" s="6">
        <f>COUNTIF(Avaluacio[Família],ResultatsFamilia[[#This Row],[Família]])</f>
        <v>33</v>
      </c>
      <c r="C25" s="6">
        <f>COUNTIFS(Avaluacio[Avaluable],"Sí",Avaluacio[Família],ResultatsFamilia[[#This Row],[Família]])</f>
        <v>33</v>
      </c>
      <c r="D25" s="6">
        <f>COUNTIFS(Avaluacio[Avaluable],"Sí",Avaluacio[Família],ResultatsFamilia[[#This Row],[Família]],Avaluacio[Contingut],"Sí")</f>
        <v>30</v>
      </c>
      <c r="E25" s="6">
        <f>COUNTIFS(Avaluacio[Avaluable],"Sí",Avaluacio[Família],ResultatsFamilia[[#This Row],[Família]],Avaluacio[Actualització],"Sí")</f>
        <v>30</v>
      </c>
      <c r="F25" s="8">
        <f>IFERROR(ResultatsFamilia[[#This Row],[Contingut (ítems)]]/(COUNTIFS(Avaluacio[Avaluable],"Sí",Avaluacio[Família],ResultatsFamilia[[#This Row],[Família]],Avaluacio[Contingut],"Sí")+COUNTIFS(Avaluacio[Avaluable],"Sí",Avaluacio[Família],ResultatsFamilia[[#This Row],[Família]],Avaluacio[Contingut],"No")),NA())</f>
        <v>0.90909090909090906</v>
      </c>
      <c r="G25" s="8">
        <f>IFERROR(ResultatsFamilia[[#This Row],[Actualització (ítems)]]/(COUNTIFS(Avaluacio[Avaluable],"Sí",Avaluacio[Família],ResultatsFamilia[[#This Row],[Família]],Avaluacio[Actualització],"Sí")+COUNTIFS(Avaluacio[Avaluable],"Sí",Avaluacio[Família],ResultatsFamilia[[#This Row],[Família]],Avaluacio[Actualització],"No")),NA())</f>
        <v>0.90909090909090906</v>
      </c>
      <c r="H25"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30</v>
      </c>
      <c r="I25"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5"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3</v>
      </c>
      <c r="K25"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5" s="8">
        <f>IFERROR(AVERAGEIFS(Avaluacio[% compliment],Avaluacio[Avaluable],"Sí",Avaluacio[Família],ResultatsFamilia[[#This Row],[Família]]),NA())</f>
        <v>0.90909090909090906</v>
      </c>
    </row>
    <row r="26" spans="1:12" ht="42.75" x14ac:dyDescent="0.2">
      <c r="A26" t="str">
        <f t="array" ref="A26">INDEX(Avaluacio[Família],(MATCH(0,INDEX(COUNTIF($A$23:A25,Avaluacio[Família]),0,0)+INDEX(Avaluacio[Avaluable]="No",0,0),0)))</f>
        <v>Contractes, convenis i subvencions</v>
      </c>
      <c r="B26" s="6">
        <f>COUNTIF(Avaluacio[Família],ResultatsFamilia[[#This Row],[Família]])</f>
        <v>22</v>
      </c>
      <c r="C26" s="6">
        <f>COUNTIFS(Avaluacio[Avaluable],"Sí",Avaluacio[Família],ResultatsFamilia[[#This Row],[Família]])</f>
        <v>22</v>
      </c>
      <c r="D26" s="6">
        <f>COUNTIFS(Avaluacio[Avaluable],"Sí",Avaluacio[Família],ResultatsFamilia[[#This Row],[Família]],Avaluacio[Contingut],"Sí")</f>
        <v>19</v>
      </c>
      <c r="E26" s="6">
        <f>COUNTIFS(Avaluacio[Avaluable],"Sí",Avaluacio[Família],ResultatsFamilia[[#This Row],[Família]],Avaluacio[Actualització],"Sí")</f>
        <v>20</v>
      </c>
      <c r="F26" s="8">
        <f>IFERROR(ResultatsFamilia[[#This Row],[Contingut (ítems)]]/(COUNTIFS(Avaluacio[Avaluable],"Sí",Avaluacio[Família],ResultatsFamilia[[#This Row],[Família]],Avaluacio[Contingut],"Sí")+COUNTIFS(Avaluacio[Avaluable],"Sí",Avaluacio[Família],ResultatsFamilia[[#This Row],[Família]],Avaluacio[Contingut],"No")),NA())</f>
        <v>0.86363636363636365</v>
      </c>
      <c r="G26" s="8">
        <f>IFERROR(ResultatsFamilia[[#This Row],[Actualització (ítems)]]/(COUNTIFS(Avaluacio[Avaluable],"Sí",Avaluacio[Família],ResultatsFamilia[[#This Row],[Família]],Avaluacio[Actualització],"Sí")+COUNTIFS(Avaluacio[Avaluable],"Sí",Avaluacio[Família],ResultatsFamilia[[#This Row],[Família]],Avaluacio[Actualització],"No")),NA())</f>
        <v>0.90909090909090906</v>
      </c>
      <c r="H26"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19</v>
      </c>
      <c r="I26" s="6">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1</v>
      </c>
      <c r="J26"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2</v>
      </c>
      <c r="K26"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6" s="8">
        <f>IFERROR(AVERAGEIFS(Avaluacio[% compliment],Avaluacio[Avaluable],"Sí",Avaluacio[Família],ResultatsFamilia[[#This Row],[Família]]),NA())</f>
        <v>0.88636363636363635</v>
      </c>
    </row>
    <row r="27" spans="1:12" x14ac:dyDescent="0.2">
      <c r="A27" t="str">
        <f t="array" ref="A27">INDEX(Avaluacio[Família],(MATCH(0,INDEX(COUNTIF($A$23:A26,Avaluacio[Família]),0,0)+INDEX(Avaluacio[Avaluable]="No",0,0),0)))</f>
        <v>Gestió econòmica</v>
      </c>
      <c r="B27" s="6">
        <f>COUNTIF(Avaluacio[Família],ResultatsFamilia[[#This Row],[Família]])</f>
        <v>17</v>
      </c>
      <c r="C27" s="6">
        <f>COUNTIFS(Avaluacio[Avaluable],"Sí",Avaluacio[Família],ResultatsFamilia[[#This Row],[Família]])</f>
        <v>17</v>
      </c>
      <c r="D27" s="6">
        <f>COUNTIFS(Avaluacio[Avaluable],"Sí",Avaluacio[Família],ResultatsFamilia[[#This Row],[Família]],Avaluacio[Contingut],"Sí")</f>
        <v>15</v>
      </c>
      <c r="E27" s="6">
        <f>COUNTIFS(Avaluacio[Avaluable],"Sí",Avaluacio[Família],ResultatsFamilia[[#This Row],[Família]],Avaluacio[Actualització],"Sí")</f>
        <v>15</v>
      </c>
      <c r="F27" s="8">
        <f>IFERROR(ResultatsFamilia[[#This Row],[Contingut (ítems)]]/(COUNTIFS(Avaluacio[Avaluable],"Sí",Avaluacio[Família],ResultatsFamilia[[#This Row],[Família]],Avaluacio[Contingut],"Sí")+COUNTIFS(Avaluacio[Avaluable],"Sí",Avaluacio[Família],ResultatsFamilia[[#This Row],[Família]],Avaluacio[Contingut],"No")),NA())</f>
        <v>0.88235294117647056</v>
      </c>
      <c r="G27" s="8">
        <f>IFERROR(ResultatsFamilia[[#This Row],[Actualització (ítems)]]/(COUNTIFS(Avaluacio[Avaluable],"Sí",Avaluacio[Família],ResultatsFamilia[[#This Row],[Família]],Avaluacio[Actualització],"Sí")+COUNTIFS(Avaluacio[Avaluable],"Sí",Avaluacio[Família],ResultatsFamilia[[#This Row],[Família]],Avaluacio[Actualització],"No")),NA())</f>
        <v>0.88235294117647056</v>
      </c>
      <c r="H27"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15</v>
      </c>
      <c r="I27"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7"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2</v>
      </c>
      <c r="K27"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7" s="8">
        <f>IFERROR(AVERAGEIFS(Avaluacio[% compliment],Avaluacio[Avaluable],"Sí",Avaluacio[Família],ResultatsFamilia[[#This Row],[Família]]),NA())</f>
        <v>0.88235294117647056</v>
      </c>
    </row>
    <row r="28" spans="1:12" x14ac:dyDescent="0.2">
      <c r="A28" t="str">
        <f t="array" ref="A28">INDEX(Avaluacio[Família],(MATCH(0,INDEX(COUNTIF($A$23:A27,Avaluacio[Família]),0,0)+INDEX(Avaluacio[Avaluable]="No",0,0),0)))</f>
        <v>Serveis i tràmits</v>
      </c>
      <c r="B28" s="6">
        <f>COUNTIF(Avaluacio[Família],ResultatsFamilia[[#This Row],[Família]])</f>
        <v>23</v>
      </c>
      <c r="C28" s="6">
        <f>COUNTIFS(Avaluacio[Avaluable],"Sí",Avaluacio[Família],ResultatsFamilia[[#This Row],[Família]])</f>
        <v>23</v>
      </c>
      <c r="D28" s="6">
        <f>COUNTIFS(Avaluacio[Avaluable],"Sí",Avaluacio[Família],ResultatsFamilia[[#This Row],[Família]],Avaluacio[Contingut],"Sí")</f>
        <v>20</v>
      </c>
      <c r="E28" s="6">
        <f>COUNTIFS(Avaluacio[Avaluable],"Sí",Avaluacio[Família],ResultatsFamilia[[#This Row],[Família]],Avaluacio[Actualització],"Sí")</f>
        <v>20</v>
      </c>
      <c r="F28" s="8">
        <f>IFERROR(ResultatsFamilia[[#This Row],[Contingut (ítems)]]/(COUNTIFS(Avaluacio[Avaluable],"Sí",Avaluacio[Família],ResultatsFamilia[[#This Row],[Família]],Avaluacio[Contingut],"Sí")+COUNTIFS(Avaluacio[Avaluable],"Sí",Avaluacio[Família],ResultatsFamilia[[#This Row],[Família]],Avaluacio[Contingut],"No")),NA())</f>
        <v>0.86956521739130432</v>
      </c>
      <c r="G28" s="8">
        <f>IFERROR(ResultatsFamilia[[#This Row],[Actualització (ítems)]]/(COUNTIFS(Avaluacio[Avaluable],"Sí",Avaluacio[Família],ResultatsFamilia[[#This Row],[Família]],Avaluacio[Actualització],"Sí")+COUNTIFS(Avaluacio[Avaluable],"Sí",Avaluacio[Família],ResultatsFamilia[[#This Row],[Família]],Avaluacio[Actualització],"No")),NA())</f>
        <v>0.86956521739130432</v>
      </c>
      <c r="H28"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20</v>
      </c>
      <c r="I28"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8"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3</v>
      </c>
      <c r="K28"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8" s="8">
        <f>IFERROR(AVERAGEIFS(Avaluacio[% compliment],Avaluacio[Avaluable],"Sí",Avaluacio[Família],ResultatsFamilia[[#This Row],[Família]]),NA())</f>
        <v>0.86956521739130432</v>
      </c>
    </row>
    <row r="29" spans="1:12" x14ac:dyDescent="0.2">
      <c r="A29" t="str">
        <f t="array" ref="A29">INDEX(Avaluacio[Família],(MATCH(0,INDEX(COUNTIF($A$23:A28,Avaluacio[Família]),0,0)+INDEX(Avaluacio[Avaluable]="No",0,0),0)))</f>
        <v>Participació</v>
      </c>
      <c r="B29" s="6">
        <f>COUNTIF(Avaluacio[Família],ResultatsFamilia[[#This Row],[Família]])</f>
        <v>7</v>
      </c>
      <c r="C29" s="6">
        <f>COUNTIFS(Avaluacio[Avaluable],"Sí",Avaluacio[Família],ResultatsFamilia[[#This Row],[Família]])</f>
        <v>7</v>
      </c>
      <c r="D29" s="6">
        <f>COUNTIFS(Avaluacio[Avaluable],"Sí",Avaluacio[Família],ResultatsFamilia[[#This Row],[Família]],Avaluacio[Contingut],"Sí")</f>
        <v>6</v>
      </c>
      <c r="E29" s="6">
        <f>COUNTIFS(Avaluacio[Avaluable],"Sí",Avaluacio[Família],ResultatsFamilia[[#This Row],[Família]],Avaluacio[Actualització],"Sí")</f>
        <v>6</v>
      </c>
      <c r="F29" s="19">
        <f>IFERROR(ResultatsFamilia[[#This Row],[Contingut (ítems)]]/(COUNTIFS(Avaluacio[Avaluable],"Sí",Avaluacio[Família],ResultatsFamilia[[#This Row],[Família]],Avaluacio[Contingut],"Sí")+COUNTIFS(Avaluacio[Avaluable],"Sí",Avaluacio[Família],ResultatsFamilia[[#This Row],[Família]],Avaluacio[Contingut],"No")),NA())</f>
        <v>0.8571428571428571</v>
      </c>
      <c r="G29" s="19">
        <f>IFERROR(ResultatsFamilia[[#This Row],[Actualització (ítems)]]/(COUNTIFS(Avaluacio[Avaluable],"Sí",Avaluacio[Família],ResultatsFamilia[[#This Row],[Família]],Avaluacio[Actualització],"Sí")+COUNTIFS(Avaluacio[Avaluable],"Sí",Avaluacio[Família],ResultatsFamilia[[#This Row],[Família]],Avaluacio[Actualització],"No")),NA())</f>
        <v>0.8571428571428571</v>
      </c>
      <c r="H29" s="6">
        <f>IF(COUNTIFS(Avaluacio[Avaluable],"Sí",Avaluacio[Família],ResultatsFamilia[[#This Row],[Família]],Avaluacio[Grau de compliment],ResultatsFamilia[[#Headers],[Compleix totalment]])=0,NA(),COUNTIFS(Avaluacio[Avaluable],"Sí",Avaluacio[Família],ResultatsFamilia[[#This Row],[Família]],Avaluacio[Grau de compliment],ResultatsFamilia[[#Headers],[Compleix totalment]]))</f>
        <v>6</v>
      </c>
      <c r="I29" s="6" t="e">
        <f>IF(COUNTIFS(Avaluacio[Avaluable],"Sí",Avaluacio[Família],ResultatsFamilia[[#This Row],[Família]],Avaluacio[Grau de compliment],ResultatsFamilia[[#Headers],[Compleix parcialment]])=0,NA(),COUNTIFS(Avaluacio[Avaluable],"Sí",Avaluacio[Família],ResultatsFamilia[[#This Row],[Família]],Avaluacio[Grau de compliment],ResultatsFamilia[[#Headers],[Compleix parcialment]]))</f>
        <v>#N/A</v>
      </c>
      <c r="J29" s="6">
        <f>IF(COUNTIFS(Avaluacio[Avaluable],"Sí",Avaluacio[Família],ResultatsFamilia[[#This Row],[Família]],Avaluacio[Grau de compliment],ResultatsFamilia[[#Headers],[No compleix]])=0,NA(),COUNTIFS(Avaluacio[Avaluable],"Sí",Avaluacio[Família],ResultatsFamilia[[#This Row],[Família]],Avaluacio[Grau de compliment],ResultatsFamilia[[#Headers],[No compleix]]))</f>
        <v>1</v>
      </c>
      <c r="K29" s="6" t="e">
        <f>IF(COUNTIFS(Avaluacio[Avaluable],"Sí",Avaluacio[Família],ResultatsFamilia[[#This Row],[Família]],Avaluacio[Grau de compliment],ResultatsFamilia[[#Headers],[No aplicable]])=0,NA(),COUNTIFS(Avaluacio[Avaluable],"Sí",Avaluacio[Família],ResultatsFamilia[[#This Row],[Família]],Avaluacio[Grau de compliment],ResultatsFamilia[[#Headers],[No aplicable]]))</f>
        <v>#N/A</v>
      </c>
      <c r="L29" s="8">
        <f>IFERROR(AVERAGEIFS(Avaluacio[% compliment],Avaluacio[Avaluable],"Sí",Avaluacio[Família],ResultatsFamilia[[#This Row],[Família]]),NA())</f>
        <v>0.8571428571428571</v>
      </c>
    </row>
    <row r="30" spans="1:12" ht="15" x14ac:dyDescent="0.2">
      <c r="A30" t="s">
        <v>914</v>
      </c>
      <c r="B30" s="6">
        <f>SUBTOTAL(109,ResultatsFamilia[Total ítems])</f>
        <v>147</v>
      </c>
      <c r="C30" s="6">
        <f>SUBTOTAL(109,ResultatsFamilia[Ítems avaluats])</f>
        <v>146</v>
      </c>
      <c r="D30" s="6">
        <f>SUBTOTAL(109,ResultatsFamilia[Contingut (ítems)])</f>
        <v>127</v>
      </c>
      <c r="E30" s="6">
        <f>SUBTOTAL(109,ResultatsFamilia[Actualització (ítems)])</f>
        <v>128</v>
      </c>
      <c r="F30" s="19">
        <f>IFERROR(ResultatsFamilia[[#Totals],[Contingut (ítems)]]/(COUNTIFS(Avaluacio[Avaluable],"Sí",Avaluacio[Contingut],"Sí")+COUNTIFS(Avaluacio[Avaluable],"Sí",Avaluacio[Contingut],"No")),NA())</f>
        <v>0.86986301369863017</v>
      </c>
      <c r="G30" s="19">
        <f>IFERROR(ResultatsFamilia[[#Totals],[Actualització (ítems)]]/(COUNTIFS(Avaluacio[Avaluable],"Sí",Avaluacio[Actualització],"Sí")+COUNTIFS(Avaluacio[Avaluable],"Sí",Avaluacio[Actualització],"No")),NA())</f>
        <v>0.87671232876712324</v>
      </c>
      <c r="H30" s="6">
        <f>IFERROR(SUBTOTAL(109,ResultatsFamilia[Compleix totalment]),NA())</f>
        <v>127</v>
      </c>
      <c r="I30" s="6">
        <f>IFERROR(SUBTOTAL(109,ResultatsFamilia[Compleix totalment]),NA())</f>
        <v>127</v>
      </c>
      <c r="J30" s="6">
        <f>IFERROR(SUBTOTAL(109,ResultatsFamilia[No compleix]),NA())</f>
        <v>18</v>
      </c>
      <c r="K30" s="6" t="e">
        <f>IFERROR(SUBTOTAL(109,ResultatsFamilia[No aplicable]),NA())</f>
        <v>#N/A</v>
      </c>
      <c r="L30" s="19">
        <f>IFERROR(AVERAGEIFS(Avaluacio[% compliment],Avaluacio[Avaluable],"Sí"),NA())</f>
        <v>0.87328767123287676</v>
      </c>
    </row>
    <row r="31" spans="1:12" x14ac:dyDescent="0.2">
      <c r="E31" s="6"/>
      <c r="F31" s="6"/>
      <c r="G31" s="6"/>
      <c r="H31" s="6"/>
      <c r="I31" s="6"/>
      <c r="J31" s="6"/>
      <c r="K31" s="8"/>
    </row>
    <row r="32" spans="1:12" ht="30" x14ac:dyDescent="0.2">
      <c r="A32" t="s">
        <v>884</v>
      </c>
      <c r="B32" s="6" t="s">
        <v>919</v>
      </c>
      <c r="C32" s="6" t="s">
        <v>920</v>
      </c>
      <c r="D32" s="6" t="s">
        <v>934</v>
      </c>
      <c r="E32" s="6" t="s">
        <v>935</v>
      </c>
      <c r="F32" s="6" t="s">
        <v>640</v>
      </c>
      <c r="G32" s="6" t="s">
        <v>641</v>
      </c>
      <c r="H32" s="6" t="s">
        <v>921</v>
      </c>
      <c r="I32" s="6" t="s">
        <v>643</v>
      </c>
      <c r="J32" s="6" t="s">
        <v>630</v>
      </c>
      <c r="K32" s="6" t="s">
        <v>922</v>
      </c>
      <c r="L32" s="8" t="s">
        <v>655</v>
      </c>
    </row>
    <row r="33" spans="1:12" x14ac:dyDescent="0.2">
      <c r="A33" t="str">
        <f>IF(RIGHT('1_Plantejament'!$B$7,1)&gt;="1","Fase 1","Fase 1")</f>
        <v>Fase 1</v>
      </c>
      <c r="B33" s="6">
        <f>COUNTIF(Avaluacio[Fase],"Fase 1")</f>
        <v>56</v>
      </c>
      <c r="C33" s="6">
        <f>COUNTIFS(Avaluacio[Avaluable],"Sí",Avaluacio[Fase],ResultatsFase[[#This Row],[Fase d''avaluació]])</f>
        <v>55</v>
      </c>
      <c r="D33" s="6">
        <f>COUNTIFS(Avaluacio[Avaluable],"Sí",Avaluacio[Fase],ResultatsFase[[#This Row],[Fase d''avaluació]],Avaluacio[Contingut],"Sí")</f>
        <v>50</v>
      </c>
      <c r="E33" s="6">
        <f>COUNTIFS(Avaluacio[Avaluable],"Sí",Avaluacio[Fase],ResultatsFase[[#This Row],[Fase d''avaluació]],Avaluacio[Actualització],"Sí")</f>
        <v>51</v>
      </c>
      <c r="F33" s="8">
        <f>IFERROR(ResultatsFase[[#This Row],[Contingut (ítems)]]/(COUNTIFS(Avaluacio[Avaluable],"Sí",Avaluacio[Fase],ResultatsFase[[#This Row],[Fase d''avaluació]],Avaluacio[Contingut],"Sí")+COUNTIFS(Avaluacio[Avaluable],"Sí",Avaluacio[Fase],ResultatsFase[[#This Row],[Fase d''avaluació]],Avaluacio[Contingut],"No")),NA())</f>
        <v>0.90909090909090906</v>
      </c>
      <c r="G33" s="8">
        <f>IFERROR(ResultatsFase[[#This Row],[Actualització (ítems)]]/(COUNTIFS(Avaluacio[Avaluable],"Sí",Avaluacio[Fase],ResultatsFase[[#This Row],[Fase d''avaluació]],Avaluacio[Actualització],"Sí")+COUNTIFS(Avaluacio[Avaluable],"Sí",Avaluacio[Fase],ResultatsFase[[#This Row],[Fase d''avaluació]],Avaluacio[Actualització],"No")),NA())</f>
        <v>0.92727272727272725</v>
      </c>
      <c r="H33"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50</v>
      </c>
      <c r="I33" s="6">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1</v>
      </c>
      <c r="J33"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4</v>
      </c>
      <c r="K33"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3" s="8">
        <f>IFERROR(AVERAGEIFS(Avaluacio[% compliment],Avaluacio[Avaluable],"Sí",Avaluacio[Fase],ResultatsFase[[#This Row],[Fase d''avaluació]]),NA())</f>
        <v>0.91818181818181821</v>
      </c>
    </row>
    <row r="34" spans="1:12" x14ac:dyDescent="0.2">
      <c r="A34" t="str">
        <f>IF(RIGHT('1_Plantejament'!$B$7,1)&gt;="2","Fase 2",NA())</f>
        <v>Fase 2</v>
      </c>
      <c r="B34" s="6">
        <f>COUNTIF(Avaluacio[Fase],"Fase 2")</f>
        <v>17</v>
      </c>
      <c r="C34" s="6">
        <f>COUNTIFS(Avaluacio[Avaluable],"Sí",Avaluacio[Fase],ResultatsFase[[#This Row],[Fase d''avaluació]])</f>
        <v>17</v>
      </c>
      <c r="D34" s="6">
        <f>COUNTIFS(Avaluacio[Avaluable],"Sí",Avaluacio[Fase],ResultatsFase[[#This Row],[Fase d''avaluació]],Avaluacio[Contingut],"Sí")</f>
        <v>9</v>
      </c>
      <c r="E34" s="6">
        <f>COUNTIFS(Avaluacio[Avaluable],"Sí",Avaluacio[Fase],ResultatsFase[[#This Row],[Fase d''avaluació]],Avaluacio[Actualització],"Sí")</f>
        <v>9</v>
      </c>
      <c r="F34" s="19">
        <f>IFERROR(ResultatsFase[[#This Row],[Contingut (ítems)]]/(COUNTIFS(Avaluacio[Avaluable],"Sí",Avaluacio[Fase],ResultatsFase[[#This Row],[Fase d''avaluació]],Avaluacio[Contingut],"Sí")+COUNTIFS(Avaluacio[Avaluable],"Sí",Avaluacio[Fase],ResultatsFase[[#This Row],[Fase d''avaluació]],Avaluacio[Contingut],"No")),NA())</f>
        <v>0.52941176470588236</v>
      </c>
      <c r="G34" s="19">
        <f>IFERROR(ResultatsFase[[#This Row],[Actualització (ítems)]]/(COUNTIFS(Avaluacio[Avaluable],"Sí",Avaluacio[Fase],ResultatsFase[[#This Row],[Fase d''avaluació]],Avaluacio[Actualització],"Sí")+COUNTIFS(Avaluacio[Avaluable],"Sí",Avaluacio[Fase],ResultatsFase[[#This Row],[Fase d''avaluació]],Avaluacio[Actualització],"No")),NA())</f>
        <v>0.52941176470588236</v>
      </c>
      <c r="H34"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9</v>
      </c>
      <c r="I34"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4"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8</v>
      </c>
      <c r="K34"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4" s="8">
        <f>IFERROR(AVERAGEIFS(Avaluacio[% compliment],Avaluacio[Avaluable],"Sí",Avaluacio[Fase],ResultatsFase[[#This Row],[Fase d''avaluació]]),NA())</f>
        <v>0.52941176470588236</v>
      </c>
    </row>
    <row r="35" spans="1:12" x14ac:dyDescent="0.2">
      <c r="A35" t="str">
        <f>IF(RIGHT('1_Plantejament'!$B$7,1)&gt;="3","Fase 3",NA())</f>
        <v>Fase 3</v>
      </c>
      <c r="B35" s="6">
        <f>COUNTIF(Avaluacio[Fase],"Fase 3")</f>
        <v>13</v>
      </c>
      <c r="C35" s="6">
        <f>COUNTIFS(Avaluacio[Avaluable],"Sí",Avaluacio[Fase],ResultatsFase[[#This Row],[Fase d''avaluació]])</f>
        <v>13</v>
      </c>
      <c r="D35" s="6">
        <f>COUNTIFS(Avaluacio[Avaluable],"Sí",Avaluacio[Fase],ResultatsFase[[#This Row],[Fase d''avaluació]],Avaluacio[Contingut],"Sí")</f>
        <v>13</v>
      </c>
      <c r="E35" s="6">
        <f>COUNTIFS(Avaluacio[Avaluable],"Sí",Avaluacio[Fase],ResultatsFase[[#This Row],[Fase d''avaluació]],Avaluacio[Actualització],"Sí")</f>
        <v>13</v>
      </c>
      <c r="F35" s="19">
        <f>IFERROR(ResultatsFase[[#This Row],[Contingut (ítems)]]/(COUNTIFS(Avaluacio[Avaluable],"Sí",Avaluacio[Fase],ResultatsFase[[#This Row],[Fase d''avaluació]],Avaluacio[Contingut],"Sí")+COUNTIFS(Avaluacio[Avaluable],"Sí",Avaluacio[Fase],ResultatsFase[[#This Row],[Fase d''avaluació]],Avaluacio[Contingut],"No")),NA())</f>
        <v>1</v>
      </c>
      <c r="G35" s="19">
        <f>IFERROR(ResultatsFase[[#This Row],[Actualització (ítems)]]/(COUNTIFS(Avaluacio[Avaluable],"Sí",Avaluacio[Fase],ResultatsFase[[#This Row],[Fase d''avaluació]],Avaluacio[Actualització],"Sí")+COUNTIFS(Avaluacio[Avaluable],"Sí",Avaluacio[Fase],ResultatsFase[[#This Row],[Fase d''avaluació]],Avaluacio[Actualització],"No")),NA())</f>
        <v>1</v>
      </c>
      <c r="H35"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13</v>
      </c>
      <c r="I35"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5" s="6" t="e">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#N/A</v>
      </c>
      <c r="K35"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5" s="8">
        <f>IFERROR(AVERAGEIFS(Avaluacio[% compliment],Avaluacio[Avaluable],"Sí",Avaluacio[Fase],ResultatsFase[[#This Row],[Fase d''avaluació]]),NA())</f>
        <v>1</v>
      </c>
    </row>
    <row r="36" spans="1:12" x14ac:dyDescent="0.2">
      <c r="A36" t="str">
        <f>IF(RIGHT('1_Plantejament'!$B$7,1)&gt;="4","Fase 4",NA())</f>
        <v>Fase 4</v>
      </c>
      <c r="B36" s="6">
        <f>COUNTIF(Avaluacio[Fase],"Fase 4")</f>
        <v>23</v>
      </c>
      <c r="C36" s="6">
        <f>COUNTIFS(Avaluacio[Avaluable],"Sí",Avaluacio[Fase],ResultatsFase[[#This Row],[Fase d''avaluació]])</f>
        <v>23</v>
      </c>
      <c r="D36" s="6">
        <f>COUNTIFS(Avaluacio[Avaluable],"Sí",Avaluacio[Fase],ResultatsFase[[#This Row],[Fase d''avaluació]],Avaluacio[Contingut],"Sí")</f>
        <v>18</v>
      </c>
      <c r="E36" s="6">
        <f>COUNTIFS(Avaluacio[Avaluable],"Sí",Avaluacio[Fase],ResultatsFase[[#This Row],[Fase d''avaluació]],Avaluacio[Actualització],"Sí")</f>
        <v>18</v>
      </c>
      <c r="F36" s="19">
        <f>IFERROR(ResultatsFase[[#This Row],[Contingut (ítems)]]/(COUNTIFS(Avaluacio[Avaluable],"Sí",Avaluacio[Fase],ResultatsFase[[#This Row],[Fase d''avaluació]],Avaluacio[Contingut],"Sí")+COUNTIFS(Avaluacio[Avaluable],"Sí",Avaluacio[Fase],ResultatsFase[[#This Row],[Fase d''avaluació]],Avaluacio[Contingut],"No")),NA())</f>
        <v>0.78260869565217395</v>
      </c>
      <c r="G36" s="19">
        <f>IFERROR(ResultatsFase[[#This Row],[Actualització (ítems)]]/(COUNTIFS(Avaluacio[Avaluable],"Sí",Avaluacio[Fase],ResultatsFase[[#This Row],[Fase d''avaluació]],Avaluacio[Actualització],"Sí")+COUNTIFS(Avaluacio[Avaluable],"Sí",Avaluacio[Fase],ResultatsFase[[#This Row],[Fase d''avaluació]],Avaluacio[Actualització],"No")),NA())</f>
        <v>0.78260869565217395</v>
      </c>
      <c r="H36"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18</v>
      </c>
      <c r="I36"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6"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5</v>
      </c>
      <c r="K36"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6" s="8">
        <f>IFERROR(AVERAGEIFS(Avaluacio[% compliment],Avaluacio[Avaluable],"Sí",Avaluacio[Fase],ResultatsFase[[#This Row],[Fase d''avaluació]]),NA())</f>
        <v>0.78260869565217395</v>
      </c>
    </row>
    <row r="37" spans="1:12" x14ac:dyDescent="0.2">
      <c r="A37" t="str">
        <f>IF(RIGHT('1_Plantejament'!$B$7,1)&gt;="5","Fase 5",NA())</f>
        <v>Fase 5</v>
      </c>
      <c r="B37" s="6">
        <f>COUNTIF(Avaluacio[Fase],"Fase 5")</f>
        <v>38</v>
      </c>
      <c r="C37" s="6">
        <f>COUNTIFS(Avaluacio[Avaluable],"Sí",Avaluacio[Fase],ResultatsFase[[#This Row],[Fase d''avaluació]])</f>
        <v>38</v>
      </c>
      <c r="D37" s="6">
        <f>COUNTIFS(Avaluacio[Avaluable],"Sí",Avaluacio[Fase],ResultatsFase[[#This Row],[Fase d''avaluació]],Avaluacio[Contingut],"Sí")</f>
        <v>37</v>
      </c>
      <c r="E37" s="6">
        <f>COUNTIFS(Avaluacio[Avaluable],"Sí",Avaluacio[Fase],ResultatsFase[[#This Row],[Fase d''avaluació]],Avaluacio[Actualització],"Sí")</f>
        <v>37</v>
      </c>
      <c r="F37" s="19">
        <f>IFERROR(ResultatsFase[[#This Row],[Contingut (ítems)]]/(COUNTIFS(Avaluacio[Avaluable],"Sí",Avaluacio[Fase],ResultatsFase[[#This Row],[Fase d''avaluació]],Avaluacio[Contingut],"Sí")+COUNTIFS(Avaluacio[Avaluable],"Sí",Avaluacio[Fase],ResultatsFase[[#This Row],[Fase d''avaluació]],Avaluacio[Contingut],"No")),NA())</f>
        <v>0.97368421052631582</v>
      </c>
      <c r="G37" s="19">
        <f>IFERROR(ResultatsFase[[#This Row],[Actualització (ítems)]]/(COUNTIFS(Avaluacio[Avaluable],"Sí",Avaluacio[Fase],ResultatsFase[[#This Row],[Fase d''avaluació]],Avaluacio[Actualització],"Sí")+COUNTIFS(Avaluacio[Avaluable],"Sí",Avaluacio[Fase],ResultatsFase[[#This Row],[Fase d''avaluació]],Avaluacio[Actualització],"No")),NA())</f>
        <v>0.97368421052631582</v>
      </c>
      <c r="H37" s="6">
        <f>IFERROR(IF(COUNTIFS(Avaluacio[Avaluable],"Sí",Avaluacio[Fase],ResultatsFase[[#This Row],[Fase d''avaluació]],Avaluacio[Grau de compliment],ResultatsFamilia[[#Headers],[Compleix totalment]])=0,NA(),COUNTIFS(Avaluacio[Avaluable],"Sí",Avaluacio[Fase],ResultatsFase[[#This Row],[Fase d''avaluació]],Avaluacio[Grau de compliment],ResultatsFamilia[[#Headers],[Compleix totalment]])),NA())</f>
        <v>37</v>
      </c>
      <c r="I37" s="6" t="e">
        <f>IFERROR(IF(COUNTIFS(Avaluacio[Avaluable],"Sí",Avaluacio[Fase],ResultatsFase[[#This Row],[Fase d''avaluació]],Avaluacio[Grau de compliment],ResultatsFamilia[[#Headers],[Compleix parcialment]])=0,NA(),COUNTIFS(Avaluacio[Avaluable],"Sí",Avaluacio[Fase],ResultatsFase[[#This Row],[Fase d''avaluació]],Avaluacio[Grau de compliment],ResultatsFamilia[[#Headers],[Compleix parcialment]])),NA())</f>
        <v>#N/A</v>
      </c>
      <c r="J37" s="6">
        <f>IFERROR(IF(COUNTIFS(Avaluacio[Avaluable],"Sí",Avaluacio[Fase],ResultatsFase[[#This Row],[Fase d''avaluació]],Avaluacio[Grau de compliment],ResultatsFamilia[[#Headers],[No compleix]])=0,NA(),COUNTIFS(Avaluacio[Avaluable],"Sí",Avaluacio[Fase],ResultatsFase[[#This Row],[Fase d''avaluació]],Avaluacio[Grau de compliment],ResultatsFamilia[[#Headers],[No compleix]])),NA())</f>
        <v>1</v>
      </c>
      <c r="K37" s="6" t="e">
        <f>IFERROR(IF(COUNTIFS(Avaluacio[Avaluable],"Sí",Avaluacio[Fase],ResultatsFase[[#This Row],[Fase d''avaluació]],Avaluacio[Grau de compliment],ResultatsFamilia[[#Headers],[No aplicable]])=0,NA(),COUNTIFS(Avaluacio[Avaluable],"Sí",Avaluacio[Fase],ResultatsFase[[#This Row],[Fase d''avaluació]],Avaluacio[Grau de compliment],ResultatsFamilia[[#Headers],[No aplicable]])),NA())</f>
        <v>#N/A</v>
      </c>
      <c r="L37" s="8">
        <f>IFERROR(AVERAGEIFS(Avaluacio[% compliment],Avaluacio[Avaluable],"Sí",Avaluacio[Fase],ResultatsFase[[#This Row],[Fase d''avaluació]]),NA())</f>
        <v>0.97368421052631582</v>
      </c>
    </row>
    <row r="38" spans="1:12" ht="15" x14ac:dyDescent="0.2">
      <c r="A38" t="s">
        <v>914</v>
      </c>
      <c r="B38" s="6">
        <f>SUBTOTAL(109,ResultatsFase[Total ítems])</f>
        <v>147</v>
      </c>
      <c r="C38" s="6">
        <f>SUBTOTAL(109,ResultatsFase[Ítems avaluats])</f>
        <v>146</v>
      </c>
      <c r="D38" s="6">
        <f>SUBTOTAL(109,ResultatsFase[Contingut (ítems)])</f>
        <v>127</v>
      </c>
      <c r="E38" s="6">
        <f>SUBTOTAL(109,ResultatsFase[Actualització (ítems)])</f>
        <v>128</v>
      </c>
      <c r="F38" s="8">
        <f>IFERROR(ResultatsFase[[#Totals],[Contingut (ítems)]]/(COUNTIFS(Avaluacio[Avaluable],"Sí",Avaluacio[Contingut],"Sí")+COUNTIFS(Avaluacio[Avaluable],"Sí",Avaluacio[Contingut],"No")),NA())</f>
        <v>0.86986301369863017</v>
      </c>
      <c r="G38" s="8">
        <f>IFERROR(ResultatsFase[[#Totals],[Actualització (ítems)]]/(COUNTIFS(Avaluacio[Avaluable],"Sí",Avaluacio[Actualització],"Sí")+COUNTIFS(Avaluacio[Avaluable],"Sí",Avaluacio[Actualització],"No")),NA())</f>
        <v>0.87671232876712324</v>
      </c>
      <c r="H38" s="6">
        <f>IFERROR(SUBTOTAL(109,ResultatsFase[Compleix totalment]),NA())</f>
        <v>127</v>
      </c>
      <c r="I38" s="6" t="e">
        <f>IFERROR(SUBTOTAL(109,ResultatsFase[Compleix parcialment]),NA())</f>
        <v>#N/A</v>
      </c>
      <c r="J38" s="6" t="e">
        <f>IFERROR(SUBTOTAL(109,ResultatsFase[No compleix]),NA())</f>
        <v>#N/A</v>
      </c>
      <c r="K38" s="6" t="e">
        <f>IFERROR(SUBTOTAL(109,ResultatsFase[No aplicable]),NA())</f>
        <v>#N/A</v>
      </c>
      <c r="L38" s="20">
        <f>IFERROR(AVERAGEIFS(Avaluacio[% compliment],Avaluacio[Avaluable],"Sí"),NA())</f>
        <v>0.87328767123287676</v>
      </c>
    </row>
    <row r="39" spans="1:12" s="11" customFormat="1" x14ac:dyDescent="0.2">
      <c r="A39"/>
      <c r="B39" s="6"/>
      <c r="C39" s="6"/>
      <c r="D39" s="6"/>
      <c r="E39" s="9"/>
      <c r="F39" s="9"/>
      <c r="G39" s="9"/>
      <c r="H39" s="9"/>
      <c r="I39" s="9"/>
      <c r="J39" s="9"/>
      <c r="K39" s="9"/>
    </row>
    <row r="40" spans="1:12" ht="30" x14ac:dyDescent="0.2">
      <c r="A40" s="10" t="s">
        <v>925</v>
      </c>
      <c r="B40" s="8" t="s">
        <v>919</v>
      </c>
      <c r="C40" s="8" t="s">
        <v>920</v>
      </c>
      <c r="D40" s="8" t="s">
        <v>934</v>
      </c>
      <c r="E40" s="8" t="s">
        <v>935</v>
      </c>
      <c r="F40" s="8" t="s">
        <v>640</v>
      </c>
      <c r="G40" s="8" t="s">
        <v>641</v>
      </c>
      <c r="H40" s="8" t="s">
        <v>921</v>
      </c>
      <c r="I40" s="8" t="s">
        <v>643</v>
      </c>
      <c r="J40" s="8" t="s">
        <v>630</v>
      </c>
      <c r="K40" s="8" t="s">
        <v>922</v>
      </c>
      <c r="L40" s="8" t="s">
        <v>655</v>
      </c>
    </row>
    <row r="41" spans="1:12" x14ac:dyDescent="0.2">
      <c r="A41" t="s">
        <v>923</v>
      </c>
      <c r="B41" s="6">
        <f>COUNTA(Avaluacio[Ítem])</f>
        <v>147</v>
      </c>
      <c r="C41" s="6">
        <f>COUNTIFS(Avaluacio[Avaluable],"Sí")</f>
        <v>146</v>
      </c>
      <c r="D41" s="6">
        <f>COUNTIFS(Avaluacio[Avaluable],"Sí",Avaluacio[Contingut],"Sí")</f>
        <v>127</v>
      </c>
      <c r="E41" s="6">
        <f>COUNTIFS(Avaluacio[Avaluable],"Sí",Avaluacio[Actualització],"Sí")</f>
        <v>128</v>
      </c>
      <c r="F41" s="8">
        <f>IFERROR(ResultatsTotals[[#This Row],[Contingut (ítems)]]/(COUNTIFS(Avaluacio[Avaluable],"Sí",Avaluacio[Contingut],"Sí")+COUNTIFS(Avaluacio[Avaluable],"Sí",Avaluacio[Contingut],"No")),NA())</f>
        <v>0.86986301369863017</v>
      </c>
      <c r="G41" s="8">
        <f>IFERROR(ResultatsTotals[[#This Row],[Actualització (ítems)]]/(COUNTIFS(Avaluacio[Avaluable],"Sí",Avaluacio[Actualització],"Sí")+COUNTIFS(Avaluacio[Avaluable],"Sí",Avaluacio[Actualització],"No")),NA())</f>
        <v>0.87671232876712324</v>
      </c>
      <c r="H41" s="6">
        <f>COUNTIFS(Avaluacio[Avaluable],"Sí",Avaluacio[Grau de compliment],"Compleix totalment")</f>
        <v>127</v>
      </c>
      <c r="I41" s="6">
        <f>COUNTIFS(Avaluacio[Avaluable],"Sí",Avaluacio[Grau de compliment],"Compleix parcialment")</f>
        <v>1</v>
      </c>
      <c r="J41" s="6">
        <f>COUNTIFS(Avaluacio[Avaluable],"Sí",Avaluacio[Grau de compliment],"No compleix")</f>
        <v>18</v>
      </c>
      <c r="K41" s="6">
        <f>COUNTIFS(Avaluacio[Avaluable],"Sí",Avaluacio[Grau de compliment],"No aplicable")</f>
        <v>0</v>
      </c>
      <c r="L41" s="8">
        <f>IFERROR(AVERAGEIFS(Avaluacio[% compliment],Avaluacio[Avaluable],"Sí"),NA())</f>
        <v>0.87328767123287676</v>
      </c>
    </row>
    <row r="42" spans="1:12" x14ac:dyDescent="0.2">
      <c r="A42" t="s">
        <v>924</v>
      </c>
      <c r="B42" s="6">
        <f>COUNTBLANK(Avaluacio[Ítem])</f>
        <v>0</v>
      </c>
      <c r="C42" s="6">
        <f>COUNTIFS(Avaluacio[Avaluable],"No")</f>
        <v>1</v>
      </c>
      <c r="D42" s="6">
        <f>COUNTIFS(Avaluacio[Avaluable],"Sí",Avaluacio[Contingut],"No")+COUNTIFS(Avaluacio[Avaluable],"Sí",Avaluacio[Contingut],"N/A")</f>
        <v>19</v>
      </c>
      <c r="E42" s="6">
        <f>COUNTIFS(Avaluacio[Avaluable],"Sí",Avaluacio[Actualització],"No")+COUNTIFS(Avaluacio[Avaluable],"Sí",Avaluacio[Actualització],"N/A")</f>
        <v>18</v>
      </c>
      <c r="F42" s="8">
        <f>IFERROR((ResultatsTotals[[#This Row],[Contingut (ítems)]]-COUNTIFS(Avaluacio[Avaluable],"Sí",Avaluacio[Contingut],"N/A"))/(COUNTIFS(Avaluacio[Avaluable],"Sí",Avaluacio[Contingut],"Sí")+COUNTIFS(Avaluacio[Avaluable],"Sí",Avaluacio[Contingut],"No")),NA())</f>
        <v>0.13013698630136986</v>
      </c>
      <c r="G42" s="8">
        <f>IFERROR((ResultatsTotals[[#This Row],[Actualització (ítems)]]-COUNTIFS(Avaluacio[Avaluable],"Sí",Avaluacio[Actualització],"N/A"))/(COUNTIFS(Avaluacio[Avaluable],"Sí",Avaluacio[Actualització],"Sí")+COUNTIFS(Avaluacio[Avaluable],"Sí",Avaluacio[Actualització],"No")),NA())</f>
        <v>0.12328767123287671</v>
      </c>
      <c r="H42" s="6">
        <f>COUNTIFS(Avaluacio[Avaluable],"Sí",Avaluacio[Grau de compliment],"&lt;&gt;Compleix totalment")</f>
        <v>19</v>
      </c>
      <c r="I42" s="6">
        <f>COUNTIFS(Avaluacio[Avaluable],"Sí",Avaluacio[Grau de compliment],"&lt;&gt;Compleix parcialment")</f>
        <v>145</v>
      </c>
      <c r="J42" s="6">
        <f>COUNTIFS(Avaluacio[Avaluable],"Sí",Avaluacio[Grau de compliment],"&lt;&gt;No compleix")</f>
        <v>128</v>
      </c>
      <c r="K42" s="6">
        <f>COUNTIFS(Avaluacio[Avaluable],"Sí",Avaluacio[Grau de compliment],"&lt;&gt;No aplicable")</f>
        <v>146</v>
      </c>
      <c r="L42" s="8">
        <f>1-IFERROR(AVERAGEIFS(Avaluacio[% compliment],Avaluacio[Avaluable],"Sí"),NA())</f>
        <v>0.12671232876712324</v>
      </c>
    </row>
    <row r="43" spans="1:12" ht="15" x14ac:dyDescent="0.2">
      <c r="A43" t="s">
        <v>914</v>
      </c>
      <c r="B43" s="18">
        <f>B41/SUM(ResultatsTotals[Total ítems])</f>
        <v>1</v>
      </c>
      <c r="C43" s="18">
        <f>IFERROR(C41/SUM(ResultatsTotals[Ítems avaluats]),NA())</f>
        <v>0.99319727891156462</v>
      </c>
      <c r="D43" s="17">
        <f>SUBTOTAL(109,ResultatsTotals[Contingut (ítems)])</f>
        <v>146</v>
      </c>
      <c r="E43" s="17">
        <f>SUBTOTAL(109,ResultatsTotals[Actualització (ítems)])</f>
        <v>146</v>
      </c>
      <c r="F43" s="20">
        <f>IFERROR(SUBTOTAL(109,ResultatsTotals[Contingut]),NA())</f>
        <v>1</v>
      </c>
      <c r="G43" s="20">
        <f>IFERROR(SUBTOTAL(109,ResultatsTotals[Actualització]),NA())</f>
        <v>1</v>
      </c>
      <c r="H43" s="21">
        <f>SUBTOTAL(109,ResultatsTotals[Compleix totalment])</f>
        <v>146</v>
      </c>
      <c r="I43" s="21">
        <f>SUBTOTAL(109,ResultatsTotals[Compleix parcialment])</f>
        <v>146</v>
      </c>
      <c r="J43" s="21">
        <f>SUBTOTAL(109,ResultatsTotals[No compleix])</f>
        <v>146</v>
      </c>
      <c r="K43" s="21">
        <f>SUBTOTAL(109,ResultatsTotals[No aplicable])</f>
        <v>146</v>
      </c>
      <c r="L43" s="18">
        <f>IFERROR(SUBTOTAL(109,ResultatsTotals[% compliment]),NA())</f>
        <v>1</v>
      </c>
    </row>
  </sheetData>
  <sheetProtection algorithmName="SHA-512" hashValue="vRBmQWGMxgslzb570IXtD9ooXOxTr9V3sRy5u2P6M7QSAPKoL728fIDdfkkSOt7x36nNja+vAkEiXLiLzWrmPw==" saltValue="reics2QFA1kMTD64KzGutA==" spinCount="100000" sheet="1" objects="1" scenarios="1"/>
  <conditionalFormatting sqref="A1:XFD43">
    <cfRule type="containsErrors" dxfId="21" priority="1">
      <formula>ISERROR(A1)</formula>
    </cfRule>
  </conditionalFormatting>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48"/>
  <sheetViews>
    <sheetView workbookViewId="0"/>
  </sheetViews>
  <sheetFormatPr baseColWidth="10" defaultColWidth="9" defaultRowHeight="15" x14ac:dyDescent="0.2"/>
  <cols>
    <col min="1" max="1" width="24.625" customWidth="1"/>
    <col min="2" max="2" width="11.75" customWidth="1"/>
    <col min="3" max="3" width="12.25" customWidth="1"/>
    <col min="4" max="4" width="11.375" style="6" customWidth="1"/>
    <col min="5" max="5" width="9.875" style="6" customWidth="1"/>
    <col min="6" max="6" width="26.5" style="45" customWidth="1"/>
    <col min="7" max="8" width="23.25" customWidth="1"/>
    <col min="9" max="9" width="11.625" style="6" bestFit="1" customWidth="1"/>
    <col min="10" max="10" width="14" style="6" bestFit="1" customWidth="1"/>
    <col min="11" max="11" width="13.875" style="6" bestFit="1" customWidth="1"/>
    <col min="12" max="12" width="13.5" customWidth="1"/>
    <col min="13" max="13" width="15.125" style="6" bestFit="1" customWidth="1"/>
  </cols>
  <sheetData>
    <row r="1" spans="1:13" ht="30" x14ac:dyDescent="0.2">
      <c r="A1" s="42" t="s">
        <v>1219</v>
      </c>
      <c r="B1" s="42" t="s">
        <v>1220</v>
      </c>
      <c r="C1" s="42" t="s">
        <v>1221</v>
      </c>
      <c r="D1" s="43" t="s">
        <v>884</v>
      </c>
      <c r="E1" s="43" t="s">
        <v>649</v>
      </c>
      <c r="F1" s="44" t="s">
        <v>887</v>
      </c>
      <c r="G1" s="42" t="s">
        <v>651</v>
      </c>
      <c r="H1" s="42" t="s">
        <v>652</v>
      </c>
      <c r="I1" s="43" t="s">
        <v>640</v>
      </c>
      <c r="J1" s="43" t="s">
        <v>641</v>
      </c>
      <c r="K1" s="43" t="s">
        <v>642</v>
      </c>
      <c r="L1" s="42" t="s">
        <v>654</v>
      </c>
      <c r="M1" s="43" t="s">
        <v>655</v>
      </c>
    </row>
    <row r="2" spans="1:13" ht="28.5" x14ac:dyDescent="0.2">
      <c r="A2" t="str">
        <f t="array" ref="A2">IFERROR(IF(VLOOKUP($E2,Avaluacio[],COLUMN(Avaluacio[Codi ítem]),FALSE)=$E2,'1_Plantejament'!$B$5,""),"")</f>
        <v xml:space="preserve">Ajuntament de la Tallada d'Empordà </v>
      </c>
      <c r="B2">
        <f t="array" ref="B2">IFERROR(IF(VLOOKUP($E2,Avaluacio[],COLUMN(Avaluacio[Codi ítem]),FALSE)=$E2,'1_Plantejament'!$B$9,""),"")</f>
        <v>2026</v>
      </c>
      <c r="C2">
        <f t="array" ref="C2">IFERROR(IF(VLOOKUP($E2,Avaluacio[],COLUMN(Avaluacio[Codi ítem]),FALSE)=$E2,'1_Plantejament'!$B$10,""),"")</f>
        <v>46205</v>
      </c>
      <c r="D2" s="6" t="str">
        <f t="array" ref="D2">IFERROR(IF(VLOOKUP($E2,Avaluacio[],COLUMN(Avaluacio[Codi ítem]),FALSE)=$E2,'1_Plantejament'!$B$7,""),"")</f>
        <v>Fase 5</v>
      </c>
      <c r="E2" s="6" t="str">
        <f t="array" ref="E2">IFERROR(INDEX(Avaluacio[Codi ítem],(MATCH(0,INDEX(COUNTIF(E$1:E1,Avaluacio[Codi ítem]),0,0)+INDEX(Avaluacio[Avaluable]="No",0,0),0))),"")</f>
        <v>XGO001</v>
      </c>
      <c r="F2" s="45" t="str">
        <f t="array" ref="F2">IFERROR(VLOOKUP(E2,Avaluacio[],COLUMN(Avaluacio[Ítem]),FALSE),"")</f>
        <v>Competències i funcions</v>
      </c>
      <c r="G2" t="str">
        <f t="array" ref="G2">IFERROR(VLOOKUP(E2,Avaluacio[],COLUMN(Avaluacio[Família]),FALSE),"")</f>
        <v>Informació institucional i organitzativa</v>
      </c>
      <c r="H2" t="str">
        <f t="array" ref="H2">IFERROR(VLOOKUP(E2,Avaluacio[],COLUMN(Avaluacio[Subfamília]),FALSE),"")</f>
        <v>Informació institucional</v>
      </c>
      <c r="I2" s="6" t="str">
        <f t="array" ref="I2">IFERROR(VLOOKUP(E2,Avaluacio[],COLUMN(Avaluacio[Contingut]),FALSE),"")</f>
        <v>Sí</v>
      </c>
      <c r="J2" s="6" t="str">
        <f t="array" ref="J2">IFERROR(VLOOKUP(E2,Avaluacio[],COLUMN(Avaluacio[Actualització]),FALSE),"")</f>
        <v>Sí</v>
      </c>
      <c r="K2" s="6" t="str">
        <f t="array" ref="K2">IFERROR(VLOOKUP(E2,Avaluacio[],COLUMN(#REF!),FALSE),"")</f>
        <v/>
      </c>
      <c r="L2" t="str">
        <f t="array" ref="L2">IFERROR(VLOOKUP(E2,Avaluacio[],COLUMN(Avaluacio[Grau de compliment]),FALSE),"")</f>
        <v>Compleix totalment</v>
      </c>
      <c r="M2" s="8">
        <f t="array" ref="M2">IFERROR(VLOOKUP(E2,Avaluacio[],COLUMN(Avaluacio[% compliment]),FALSE),"")</f>
        <v>1</v>
      </c>
    </row>
    <row r="3" spans="1:13" ht="28.5" x14ac:dyDescent="0.2">
      <c r="A3" t="str">
        <f t="array" ref="A3">IFERROR(IF(VLOOKUP($E3,Avaluacio[],COLUMN(Avaluacio[Codi ítem]),FALSE)=$E3,'1_Plantejament'!$B$5,""),"")</f>
        <v xml:space="preserve">Ajuntament de la Tallada d'Empordà </v>
      </c>
      <c r="B3">
        <f t="array" ref="B3">IFERROR(IF(VLOOKUP($E3,Avaluacio[],COLUMN(Avaluacio[Codi ítem]),FALSE)=$E3,'1_Plantejament'!$B$9,""),"")</f>
        <v>2026</v>
      </c>
      <c r="C3">
        <f t="array" ref="C3">IFERROR(IF(VLOOKUP($E3,Avaluacio[],COLUMN(Avaluacio[Codi ítem]),FALSE)=$E3,'1_Plantejament'!$B$10,""),"")</f>
        <v>46205</v>
      </c>
      <c r="D3" s="6" t="str">
        <f t="array" ref="D3">IFERROR(IF(VLOOKUP($E3,Avaluacio[],COLUMN(Avaluacio[Codi ítem]),FALSE)=$E3,'1_Plantejament'!$B$7,""),"")</f>
        <v>Fase 5</v>
      </c>
      <c r="E3" s="6" t="str">
        <f t="array" ref="E3">IFERROR(INDEX(Avaluacio[Codi ítem],(MATCH(0,INDEX(COUNTIF(E$1:E2,Avaluacio[Codi ítem]),0,0)+INDEX(Avaluacio[Avaluable]="No",0,0),0))),"")</f>
        <v>XGO002</v>
      </c>
      <c r="F3" s="45" t="str">
        <f t="array" ref="F3">IFERROR(VLOOKUP(E3,Avaluacio[],COLUMN(Avaluacio[Ítem]),FALSE),"")</f>
        <v>Organigrama de l'ens</v>
      </c>
      <c r="G3" t="str">
        <f t="array" ref="G3">IFERROR(VLOOKUP(E3,Avaluacio[],COLUMN(Avaluacio[Família]),FALSE),"")</f>
        <v>Informació institucional i organitzativa</v>
      </c>
      <c r="H3" t="str">
        <f t="array" ref="H3">IFERROR(VLOOKUP(E3,Avaluacio[],COLUMN(Avaluacio[Subfamília]),FALSE),"")</f>
        <v>Informació institucional</v>
      </c>
      <c r="I3" s="6" t="str">
        <f t="array" ref="I3">IFERROR(VLOOKUP(E3,Avaluacio[],COLUMN(Avaluacio[Contingut]),FALSE),"")</f>
        <v>Sí</v>
      </c>
      <c r="J3" s="6" t="str">
        <f t="array" ref="J3">IFERROR(VLOOKUP(E3,Avaluacio[],COLUMN(Avaluacio[Actualització]),FALSE),"")</f>
        <v>Sí</v>
      </c>
      <c r="K3" s="6" t="str">
        <f t="array" ref="K3">IFERROR(VLOOKUP(E3,Avaluacio[],COLUMN(#REF!),FALSE),"")</f>
        <v/>
      </c>
      <c r="L3" t="str">
        <f t="array" ref="L3">IFERROR(VLOOKUP(E3,Avaluacio[],COLUMN(Avaluacio[Grau de compliment]),FALSE),"")</f>
        <v>Compleix totalment</v>
      </c>
      <c r="M3" s="8">
        <f t="array" ref="M3">IFERROR(VLOOKUP(E3,Avaluacio[],COLUMN(Avaluacio[% compliment]),FALSE),"")</f>
        <v>1</v>
      </c>
    </row>
    <row r="4" spans="1:13" ht="30" x14ac:dyDescent="0.2">
      <c r="A4" t="str">
        <f t="array" ref="A4">IFERROR(IF(VLOOKUP($E4,Avaluacio[],COLUMN(Avaluacio[Codi ítem]),FALSE)=$E4,'1_Plantejament'!$B$5,""),"")</f>
        <v xml:space="preserve">Ajuntament de la Tallada d'Empordà </v>
      </c>
      <c r="B4">
        <f t="array" ref="B4">IFERROR(IF(VLOOKUP($E4,Avaluacio[],COLUMN(Avaluacio[Codi ítem]),FALSE)=$E4,'1_Plantejament'!$B$9,""),"")</f>
        <v>2026</v>
      </c>
      <c r="C4">
        <f t="array" ref="C4">IFERROR(IF(VLOOKUP($E4,Avaluacio[],COLUMN(Avaluacio[Codi ítem]),FALSE)=$E4,'1_Plantejament'!$B$10,""),"")</f>
        <v>46205</v>
      </c>
      <c r="D4" s="6" t="str">
        <f t="array" ref="D4">IFERROR(IF(VLOOKUP($E4,Avaluacio[],COLUMN(Avaluacio[Codi ítem]),FALSE)=$E4,'1_Plantejament'!$B$7,""),"")</f>
        <v>Fase 5</v>
      </c>
      <c r="E4" s="6" t="str">
        <f t="array" ref="E4">IFERROR(INDEX(Avaluacio[Codi ítem],(MATCH(0,INDEX(COUNTIF(E$1:E3,Avaluacio[Codi ítem]),0,0)+INDEX(Avaluacio[Avaluable]="No",0,0),0))),"")</f>
        <v>XGO003</v>
      </c>
      <c r="F4" s="45" t="str">
        <f t="array" ref="F4">IFERROR(VLOOKUP(E4,Avaluacio[],COLUMN(Avaluacio[Ítem]),FALSE),"")</f>
        <v>Organismes dependents o vinculats</v>
      </c>
      <c r="G4" t="str">
        <f t="array" ref="G4">IFERROR(VLOOKUP(E4,Avaluacio[],COLUMN(Avaluacio[Família]),FALSE),"")</f>
        <v>Informació institucional i organitzativa</v>
      </c>
      <c r="H4" t="str">
        <f t="array" ref="H4">IFERROR(VLOOKUP(E4,Avaluacio[],COLUMN(Avaluacio[Subfamília]),FALSE),"")</f>
        <v>Informació institucional</v>
      </c>
      <c r="I4" s="6" t="str">
        <f t="array" ref="I4">IFERROR(VLOOKUP(E4,Avaluacio[],COLUMN(Avaluacio[Contingut]),FALSE),"")</f>
        <v>Sí</v>
      </c>
      <c r="J4" s="6" t="str">
        <f t="array" ref="J4">IFERROR(VLOOKUP(E4,Avaluacio[],COLUMN(Avaluacio[Actualització]),FALSE),"")</f>
        <v>Sí</v>
      </c>
      <c r="K4" s="6" t="str">
        <f t="array" ref="K4">IFERROR(VLOOKUP(E4,Avaluacio[],COLUMN(#REF!),FALSE),"")</f>
        <v/>
      </c>
      <c r="L4" t="str">
        <f t="array" ref="L4">IFERROR(VLOOKUP(E4,Avaluacio[],COLUMN(Avaluacio[Grau de compliment]),FALSE),"")</f>
        <v>Compleix totalment</v>
      </c>
      <c r="M4" s="8">
        <f t="array" ref="M4">IFERROR(VLOOKUP(E4,Avaluacio[],COLUMN(Avaluacio[% compliment]),FALSE),"")</f>
        <v>1</v>
      </c>
    </row>
    <row r="5" spans="1:13" ht="30" x14ac:dyDescent="0.2">
      <c r="A5" t="str">
        <f t="array" ref="A5">IFERROR(IF(VLOOKUP($E5,Avaluacio[],COLUMN(Avaluacio[Codi ítem]),FALSE)=$E5,'1_Plantejament'!$B$5,""),"")</f>
        <v xml:space="preserve">Ajuntament de la Tallada d'Empordà </v>
      </c>
      <c r="B5">
        <f t="array" ref="B5">IFERROR(IF(VLOOKUP($E5,Avaluacio[],COLUMN(Avaluacio[Codi ítem]),FALSE)=$E5,'1_Plantejament'!$B$9,""),"")</f>
        <v>2026</v>
      </c>
      <c r="C5">
        <f t="array" ref="C5">IFERROR(IF(VLOOKUP($E5,Avaluacio[],COLUMN(Avaluacio[Codi ítem]),FALSE)=$E5,'1_Plantejament'!$B$10,""),"")</f>
        <v>46205</v>
      </c>
      <c r="D5" s="6" t="str">
        <f t="array" ref="D5">IFERROR(IF(VLOOKUP($E5,Avaluacio[],COLUMN(Avaluacio[Codi ítem]),FALSE)=$E5,'1_Plantejament'!$B$7,""),"")</f>
        <v>Fase 5</v>
      </c>
      <c r="E5" s="6" t="str">
        <f t="array" ref="E5">IFERROR(INDEX(Avaluacio[Codi ítem],(MATCH(0,INDEX(COUNTIF(E$1:E4,Avaluacio[Codi ítem]),0,0)+INDEX(Avaluacio[Avaluable]="No",0,0),0))),"")</f>
        <v>XGO004</v>
      </c>
      <c r="F5" s="45" t="str">
        <f t="array" ref="F5">IFERROR(VLOOKUP(E5,Avaluacio[],COLUMN(Avaluacio[Ítem]),FALSE),"")</f>
        <v>Organismes dels que forma part</v>
      </c>
      <c r="G5" t="str">
        <f t="array" ref="G5">IFERROR(VLOOKUP(E5,Avaluacio[],COLUMN(Avaluacio[Família]),FALSE),"")</f>
        <v>Informació institucional i organitzativa</v>
      </c>
      <c r="H5" t="str">
        <f t="array" ref="H5">IFERROR(VLOOKUP(E5,Avaluacio[],COLUMN(Avaluacio[Subfamília]),FALSE),"")</f>
        <v>Informació institucional</v>
      </c>
      <c r="I5" s="6" t="str">
        <f t="array" ref="I5">IFERROR(VLOOKUP(E5,Avaluacio[],COLUMN(Avaluacio[Contingut]),FALSE),"")</f>
        <v>Sí</v>
      </c>
      <c r="J5" s="6" t="str">
        <f t="array" ref="J5">IFERROR(VLOOKUP(E5,Avaluacio[],COLUMN(Avaluacio[Actualització]),FALSE),"")</f>
        <v>Sí</v>
      </c>
      <c r="K5" s="6" t="str">
        <f t="array" ref="K5">IFERROR(VLOOKUP(E5,Avaluacio[],COLUMN(#REF!),FALSE),"")</f>
        <v/>
      </c>
      <c r="L5" t="str">
        <f t="array" ref="L5">IFERROR(VLOOKUP(E5,Avaluacio[],COLUMN(Avaluacio[Grau de compliment]),FALSE),"")</f>
        <v>Compleix totalment</v>
      </c>
      <c r="M5" s="8">
        <f t="array" ref="M5">IFERROR(VLOOKUP(E5,Avaluacio[],COLUMN(Avaluacio[% compliment]),FALSE),"")</f>
        <v>1</v>
      </c>
    </row>
    <row r="6" spans="1:13" ht="45" x14ac:dyDescent="0.2">
      <c r="A6" t="str">
        <f t="array" ref="A6">IFERROR(IF(VLOOKUP($E6,Avaluacio[],COLUMN(Avaluacio[Codi ítem]),FALSE)=$E6,'1_Plantejament'!$B$5,""),"")</f>
        <v xml:space="preserve">Ajuntament de la Tallada d'Empordà </v>
      </c>
      <c r="B6">
        <f t="array" ref="B6">IFERROR(IF(VLOOKUP($E6,Avaluacio[],COLUMN(Avaluacio[Codi ítem]),FALSE)=$E6,'1_Plantejament'!$B$9,""),"")</f>
        <v>2026</v>
      </c>
      <c r="C6">
        <f t="array" ref="C6">IFERROR(IF(VLOOKUP($E6,Avaluacio[],COLUMN(Avaluacio[Codi ítem]),FALSE)=$E6,'1_Plantejament'!$B$10,""),"")</f>
        <v>46205</v>
      </c>
      <c r="D6" s="6" t="str">
        <f t="array" ref="D6">IFERROR(IF(VLOOKUP($E6,Avaluacio[],COLUMN(Avaluacio[Codi ítem]),FALSE)=$E6,'1_Plantejament'!$B$7,""),"")</f>
        <v>Fase 5</v>
      </c>
      <c r="E6" s="6" t="str">
        <f t="array" ref="E6">IFERROR(INDEX(Avaluacio[Codi ítem],(MATCH(0,INDEX(COUNTIF(E$1:E5,Avaluacio[Codi ítem]),0,0)+INDEX(Avaluacio[Avaluable]="No",0,0),0))),"")</f>
        <v>XGO006</v>
      </c>
      <c r="F6" s="45" t="str">
        <f t="array" ref="F6">IFERROR(VLOOKUP(E6,Avaluacio[],COLUMN(Avaluacio[Ítem]),FALSE),"")</f>
        <v>Agenda institucional dels alts càrrecs i personal directiu</v>
      </c>
      <c r="G6" t="str">
        <f t="array" ref="G6">IFERROR(VLOOKUP(E6,Avaluacio[],COLUMN(Avaluacio[Família]),FALSE),"")</f>
        <v>Informació institucional i organitzativa</v>
      </c>
      <c r="H6" t="str">
        <f t="array" ref="H6">IFERROR(VLOOKUP(E6,Avaluacio[],COLUMN(Avaluacio[Subfamília]),FALSE),"")</f>
        <v>Informació institucional</v>
      </c>
      <c r="I6" s="6" t="str">
        <f t="array" ref="I6">IFERROR(VLOOKUP(E6,Avaluacio[],COLUMN(Avaluacio[Contingut]),FALSE),"")</f>
        <v>No</v>
      </c>
      <c r="J6" s="6" t="str">
        <f t="array" ref="J6">IFERROR(VLOOKUP(E6,Avaluacio[],COLUMN(Avaluacio[Actualització]),FALSE),"")</f>
        <v>No</v>
      </c>
      <c r="K6" s="6" t="str">
        <f t="array" ref="K6">IFERROR(VLOOKUP(E6,Avaluacio[],COLUMN(#REF!),FALSE),"")</f>
        <v/>
      </c>
      <c r="L6" t="str">
        <f t="array" ref="L6">IFERROR(VLOOKUP(E6,Avaluacio[],COLUMN(Avaluacio[Grau de compliment]),FALSE),"")</f>
        <v>No compleix</v>
      </c>
      <c r="M6" s="8">
        <f t="array" ref="M6">IFERROR(VLOOKUP(E6,Avaluacio[],COLUMN(Avaluacio[% compliment]),FALSE),"")</f>
        <v>0</v>
      </c>
    </row>
    <row r="7" spans="1:13" ht="30" x14ac:dyDescent="0.2">
      <c r="A7" t="str">
        <f t="array" ref="A7">IFERROR(IF(VLOOKUP($E7,Avaluacio[],COLUMN(Avaluacio[Codi ítem]),FALSE)=$E7,'1_Plantejament'!$B$5,""),"")</f>
        <v xml:space="preserve">Ajuntament de la Tallada d'Empordà </v>
      </c>
      <c r="B7">
        <f t="array" ref="B7">IFERROR(IF(VLOOKUP($E7,Avaluacio[],COLUMN(Avaluacio[Codi ítem]),FALSE)=$E7,'1_Plantejament'!$B$9,""),"")</f>
        <v>2026</v>
      </c>
      <c r="C7">
        <f t="array" ref="C7">IFERROR(IF(VLOOKUP($E7,Avaluacio[],COLUMN(Avaluacio[Codi ítem]),FALSE)=$E7,'1_Plantejament'!$B$10,""),"")</f>
        <v>46205</v>
      </c>
      <c r="D7" s="6" t="str">
        <f t="array" ref="D7">IFERROR(IF(VLOOKUP($E7,Avaluacio[],COLUMN(Avaluacio[Codi ítem]),FALSE)=$E7,'1_Plantejament'!$B$7,""),"")</f>
        <v>Fase 5</v>
      </c>
      <c r="E7" s="6" t="str">
        <f t="array" ref="E7">IFERROR(INDEX(Avaluacio[Codi ítem],(MATCH(0,INDEX(COUNTIF(E$1:E6,Avaluacio[Codi ítem]),0,0)+INDEX(Avaluacio[Avaluable]="No",0,0),0))),"")</f>
        <v>XGO007</v>
      </c>
      <c r="F7" s="45" t="str">
        <f t="array" ref="F7">IFERROR(VLOOKUP(E7,Avaluacio[],COLUMN(Avaluacio[Ítem]),FALSE),"")</f>
        <v>Relació d'obsequis als alts càrrecs i personal directiu</v>
      </c>
      <c r="G7" t="str">
        <f t="array" ref="G7">IFERROR(VLOOKUP(E7,Avaluacio[],COLUMN(Avaluacio[Família]),FALSE),"")</f>
        <v>Informació institucional i organitzativa</v>
      </c>
      <c r="H7" t="str">
        <f t="array" ref="H7">IFERROR(VLOOKUP(E7,Avaluacio[],COLUMN(Avaluacio[Subfamília]),FALSE),"")</f>
        <v>Informació institucional</v>
      </c>
      <c r="I7" s="6" t="str">
        <f t="array" ref="I7">IFERROR(VLOOKUP(E7,Avaluacio[],COLUMN(Avaluacio[Contingut]),FALSE),"")</f>
        <v>Sí</v>
      </c>
      <c r="J7" s="6" t="str">
        <f t="array" ref="J7">IFERROR(VLOOKUP(E7,Avaluacio[],COLUMN(Avaluacio[Actualització]),FALSE),"")</f>
        <v>Sí</v>
      </c>
      <c r="K7" s="6" t="str">
        <f t="array" ref="K7">IFERROR(VLOOKUP(E7,Avaluacio[],COLUMN(#REF!),FALSE),"")</f>
        <v/>
      </c>
      <c r="L7" t="str">
        <f t="array" ref="L7">IFERROR(VLOOKUP(E7,Avaluacio[],COLUMN(Avaluacio[Grau de compliment]),FALSE),"")</f>
        <v>Compleix totalment</v>
      </c>
      <c r="M7" s="8">
        <f t="array" ref="M7">IFERROR(VLOOKUP(E7,Avaluacio[],COLUMN(Avaluacio[% compliment]),FALSE),"")</f>
        <v>1</v>
      </c>
    </row>
    <row r="8" spans="1:13" ht="30" x14ac:dyDescent="0.2">
      <c r="A8" t="str">
        <f t="array" ref="A8">IFERROR(IF(VLOOKUP($E8,Avaluacio[],COLUMN(Avaluacio[Codi ítem]),FALSE)=$E8,'1_Plantejament'!$B$5,""),"")</f>
        <v xml:space="preserve">Ajuntament de la Tallada d'Empordà </v>
      </c>
      <c r="B8">
        <f t="array" ref="B8">IFERROR(IF(VLOOKUP($E8,Avaluacio[],COLUMN(Avaluacio[Codi ítem]),FALSE)=$E8,'1_Plantejament'!$B$9,""),"")</f>
        <v>2026</v>
      </c>
      <c r="C8">
        <f t="array" ref="C8">IFERROR(IF(VLOOKUP($E8,Avaluacio[],COLUMN(Avaluacio[Codi ítem]),FALSE)=$E8,'1_Plantejament'!$B$10,""),"")</f>
        <v>46205</v>
      </c>
      <c r="D8" s="6" t="str">
        <f t="array" ref="D8">IFERROR(IF(VLOOKUP($E8,Avaluacio[],COLUMN(Avaluacio[Codi ítem]),FALSE)=$E8,'1_Plantejament'!$B$7,""),"")</f>
        <v>Fase 5</v>
      </c>
      <c r="E8" s="6" t="str">
        <f t="array" ref="E8">IFERROR(INDEX(Avaluacio[Codi ítem],(MATCH(0,INDEX(COUNTIF(E$1:E7,Avaluacio[Codi ítem]),0,0)+INDEX(Avaluacio[Avaluable]="No",0,0),0))),"")</f>
        <v>XGO008</v>
      </c>
      <c r="F8" s="45" t="str">
        <f t="array" ref="F8">IFERROR(VLOOKUP(E8,Avaluacio[],COLUMN(Avaluacio[Ítem]),FALSE),"")</f>
        <v>Relació d'invitacions als alts càrrecs i personal directiu</v>
      </c>
      <c r="G8" t="str">
        <f t="array" ref="G8">IFERROR(VLOOKUP(E8,Avaluacio[],COLUMN(Avaluacio[Família]),FALSE),"")</f>
        <v>Informació institucional i organitzativa</v>
      </c>
      <c r="H8" t="str">
        <f t="array" ref="H8">IFERROR(VLOOKUP(E8,Avaluacio[],COLUMN(Avaluacio[Subfamília]),FALSE),"")</f>
        <v>Informació institucional</v>
      </c>
      <c r="I8" s="6" t="str">
        <f t="array" ref="I8">IFERROR(VLOOKUP(E8,Avaluacio[],COLUMN(Avaluacio[Contingut]),FALSE),"")</f>
        <v>Sí</v>
      </c>
      <c r="J8" s="6" t="str">
        <f t="array" ref="J8">IFERROR(VLOOKUP(E8,Avaluacio[],COLUMN(Avaluacio[Actualització]),FALSE),"")</f>
        <v>Sí</v>
      </c>
      <c r="K8" s="6" t="str">
        <f t="array" ref="K8">IFERROR(VLOOKUP(E8,Avaluacio[],COLUMN(#REF!),FALSE),"")</f>
        <v/>
      </c>
      <c r="L8" t="str">
        <f t="array" ref="L8">IFERROR(VLOOKUP(E8,Avaluacio[],COLUMN(Avaluacio[Grau de compliment]),FALSE),"")</f>
        <v>Compleix totalment</v>
      </c>
      <c r="M8" s="8">
        <f t="array" ref="M8">IFERROR(VLOOKUP(E8,Avaluacio[],COLUMN(Avaluacio[% compliment]),FALSE),"")</f>
        <v>1</v>
      </c>
    </row>
    <row r="9" spans="1:13" ht="28.5" x14ac:dyDescent="0.2">
      <c r="A9" t="str">
        <f t="array" ref="A9">IFERROR(IF(VLOOKUP($E9,Avaluacio[],COLUMN(Avaluacio[Codi ítem]),FALSE)=$E9,'1_Plantejament'!$B$5,""),"")</f>
        <v xml:space="preserve">Ajuntament de la Tallada d'Empordà </v>
      </c>
      <c r="B9">
        <f t="array" ref="B9">IFERROR(IF(VLOOKUP($E9,Avaluacio[],COLUMN(Avaluacio[Codi ítem]),FALSE)=$E9,'1_Plantejament'!$B$9,""),"")</f>
        <v>2026</v>
      </c>
      <c r="C9">
        <f t="array" ref="C9">IFERROR(IF(VLOOKUP($E9,Avaluacio[],COLUMN(Avaluacio[Codi ítem]),FALSE)=$E9,'1_Plantejament'!$B$10,""),"")</f>
        <v>46205</v>
      </c>
      <c r="D9" s="6" t="str">
        <f t="array" ref="D9">IFERROR(IF(VLOOKUP($E9,Avaluacio[],COLUMN(Avaluacio[Codi ítem]),FALSE)=$E9,'1_Plantejament'!$B$7,""),"")</f>
        <v>Fase 5</v>
      </c>
      <c r="E9" s="6" t="str">
        <f t="array" ref="E9">IFERROR(INDEX(Avaluacio[Codi ítem],(MATCH(0,INDEX(COUNTIF(E$1:E8,Avaluacio[Codi ítem]),0,0)+INDEX(Avaluacio[Avaluable]="No",0,0),0))),"")</f>
        <v>XGO009</v>
      </c>
      <c r="F9" s="45" t="str">
        <f t="array" ref="F9">IFERROR(VLOOKUP(E9,Avaluacio[],COLUMN(Avaluacio[Ítem]),FALSE),"")</f>
        <v>Agenda d'activitats</v>
      </c>
      <c r="G9" t="str">
        <f t="array" ref="G9">IFERROR(VLOOKUP(E9,Avaluacio[],COLUMN(Avaluacio[Família]),FALSE),"")</f>
        <v>Informació institucional i organitzativa</v>
      </c>
      <c r="H9" t="str">
        <f t="array" ref="H9">IFERROR(VLOOKUP(E9,Avaluacio[],COLUMN(Avaluacio[Subfamília]),FALSE),"")</f>
        <v>Informació institucional</v>
      </c>
      <c r="I9" s="6" t="str">
        <f t="array" ref="I9">IFERROR(VLOOKUP(E9,Avaluacio[],COLUMN(Avaluacio[Contingut]),FALSE),"")</f>
        <v>Sí</v>
      </c>
      <c r="J9" s="6" t="str">
        <f t="array" ref="J9">IFERROR(VLOOKUP(E9,Avaluacio[],COLUMN(Avaluacio[Actualització]),FALSE),"")</f>
        <v>Sí</v>
      </c>
      <c r="K9" s="6" t="str">
        <f t="array" ref="K9">IFERROR(VLOOKUP(E9,Avaluacio[],COLUMN(#REF!),FALSE),"")</f>
        <v/>
      </c>
      <c r="L9" t="str">
        <f t="array" ref="L9">IFERROR(VLOOKUP(E9,Avaluacio[],COLUMN(Avaluacio[Grau de compliment]),FALSE),"")</f>
        <v>Compleix totalment</v>
      </c>
      <c r="M9" s="8">
        <f t="array" ref="M9">IFERROR(VLOOKUP(E9,Avaluacio[],COLUMN(Avaluacio[% compliment]),FALSE),"")</f>
        <v>1</v>
      </c>
    </row>
    <row r="10" spans="1:13" ht="28.5" x14ac:dyDescent="0.2">
      <c r="A10" t="str">
        <f t="array" ref="A10">IFERROR(IF(VLOOKUP($E10,Avaluacio[],COLUMN(Avaluacio[Codi ítem]),FALSE)=$E10,'1_Plantejament'!$B$5,""),"")</f>
        <v xml:space="preserve">Ajuntament de la Tallada d'Empordà </v>
      </c>
      <c r="B10">
        <f t="array" ref="B10">IFERROR(IF(VLOOKUP($E10,Avaluacio[],COLUMN(Avaluacio[Codi ítem]),FALSE)=$E10,'1_Plantejament'!$B$9,""),"")</f>
        <v>2026</v>
      </c>
      <c r="C10">
        <f t="array" ref="C10">IFERROR(IF(VLOOKUP($E10,Avaluacio[],COLUMN(Avaluacio[Codi ítem]),FALSE)=$E10,'1_Plantejament'!$B$10,""),"")</f>
        <v>46205</v>
      </c>
      <c r="D10" s="6" t="str">
        <f t="array" ref="D10">IFERROR(IF(VLOOKUP($E10,Avaluacio[],COLUMN(Avaluacio[Codi ítem]),FALSE)=$E10,'1_Plantejament'!$B$7,""),"")</f>
        <v>Fase 5</v>
      </c>
      <c r="E10" s="6" t="str">
        <f t="array" ref="E10">IFERROR(INDEX(Avaluacio[Codi ítem],(MATCH(0,INDEX(COUNTIF(E$1:E9,Avaluacio[Codi ítem]),0,0)+INDEX(Avaluacio[Avaluable]="No",0,0),0))),"")</f>
        <v>XGO010</v>
      </c>
      <c r="F10" s="45" t="str">
        <f t="array" ref="F10">IFERROR(VLOOKUP(E10,Avaluacio[],COLUMN(Avaluacio[Ítem]),FALSE),"")</f>
        <v>Dades generals de l'ens</v>
      </c>
      <c r="G10" t="str">
        <f t="array" ref="G10">IFERROR(VLOOKUP(E10,Avaluacio[],COLUMN(Avaluacio[Família]),FALSE),"")</f>
        <v>Informació institucional i organitzativa</v>
      </c>
      <c r="H10" t="str">
        <f t="array" ref="H10">IFERROR(VLOOKUP(E10,Avaluacio[],COLUMN(Avaluacio[Subfamília]),FALSE),"")</f>
        <v>Informació institucional</v>
      </c>
      <c r="I10" s="6" t="str">
        <f t="array" ref="I10">IFERROR(VLOOKUP(E10,Avaluacio[],COLUMN(Avaluacio[Contingut]),FALSE),"")</f>
        <v>Sí</v>
      </c>
      <c r="J10" s="6" t="str">
        <f t="array" ref="J10">IFERROR(VLOOKUP(E10,Avaluacio[],COLUMN(Avaluacio[Actualització]),FALSE),"")</f>
        <v>Sí</v>
      </c>
      <c r="K10" s="6" t="str">
        <f t="array" ref="K10">IFERROR(VLOOKUP(E10,Avaluacio[],COLUMN(#REF!),FALSE),"")</f>
        <v/>
      </c>
      <c r="L10" t="str">
        <f t="array" ref="L10">IFERROR(VLOOKUP(E10,Avaluacio[],COLUMN(Avaluacio[Grau de compliment]),FALSE),"")</f>
        <v>Compleix totalment</v>
      </c>
      <c r="M10" s="8">
        <f t="array" ref="M10">IFERROR(VLOOKUP(E10,Avaluacio[],COLUMN(Avaluacio[% compliment]),FALSE),"")</f>
        <v>1</v>
      </c>
    </row>
    <row r="11" spans="1:13" ht="30" x14ac:dyDescent="0.2">
      <c r="A11" t="str">
        <f t="array" ref="A11">IFERROR(IF(VLOOKUP($E11,Avaluacio[],COLUMN(Avaluacio[Codi ítem]),FALSE)=$E11,'1_Plantejament'!$B$5,""),"")</f>
        <v xml:space="preserve">Ajuntament de la Tallada d'Empordà </v>
      </c>
      <c r="B11">
        <f t="array" ref="B11">IFERROR(IF(VLOOKUP($E11,Avaluacio[],COLUMN(Avaluacio[Codi ítem]),FALSE)=$E11,'1_Plantejament'!$B$9,""),"")</f>
        <v>2026</v>
      </c>
      <c r="C11">
        <f t="array" ref="C11">IFERROR(IF(VLOOKUP($E11,Avaluacio[],COLUMN(Avaluacio[Codi ítem]),FALSE)=$E11,'1_Plantejament'!$B$10,""),"")</f>
        <v>46205</v>
      </c>
      <c r="D11" s="6" t="str">
        <f t="array" ref="D11">IFERROR(IF(VLOOKUP($E11,Avaluacio[],COLUMN(Avaluacio[Codi ítem]),FALSE)=$E11,'1_Plantejament'!$B$7,""),"")</f>
        <v>Fase 5</v>
      </c>
      <c r="E11" s="6" t="str">
        <f t="array" ref="E11">IFERROR(INDEX(Avaluacio[Codi ítem],(MATCH(0,INDEX(COUNTIF(E$1:E10,Avaluacio[Codi ítem]),0,0)+INDEX(Avaluacio[Avaluable]="No",0,0),0))),"")</f>
        <v>XGO011</v>
      </c>
      <c r="F11" s="45" t="str">
        <f t="array" ref="F11">IFERROR(VLOOKUP(E11,Avaluacio[],COLUMN(Avaluacio[Ítem]),FALSE),"")</f>
        <v>Informació històrica sobre el municipi</v>
      </c>
      <c r="G11" t="str">
        <f t="array" ref="G11">IFERROR(VLOOKUP(E11,Avaluacio[],COLUMN(Avaluacio[Família]),FALSE),"")</f>
        <v>Informació institucional i organitzativa</v>
      </c>
      <c r="H11" t="str">
        <f t="array" ref="H11">IFERROR(VLOOKUP(E11,Avaluacio[],COLUMN(Avaluacio[Subfamília]),FALSE),"")</f>
        <v>Informació institucional</v>
      </c>
      <c r="I11" s="6" t="str">
        <f t="array" ref="I11">IFERROR(VLOOKUP(E11,Avaluacio[],COLUMN(Avaluacio[Contingut]),FALSE),"")</f>
        <v>Sí</v>
      </c>
      <c r="J11" s="6" t="str">
        <f t="array" ref="J11">IFERROR(VLOOKUP(E11,Avaluacio[],COLUMN(Avaluacio[Actualització]),FALSE),"")</f>
        <v>Sí</v>
      </c>
      <c r="K11" s="6" t="str">
        <f t="array" ref="K11">IFERROR(VLOOKUP(E11,Avaluacio[],COLUMN(#REF!),FALSE),"")</f>
        <v/>
      </c>
      <c r="L11" t="str">
        <f t="array" ref="L11">IFERROR(VLOOKUP(E11,Avaluacio[],COLUMN(Avaluacio[Grau de compliment]),FALSE),"")</f>
        <v>Compleix totalment</v>
      </c>
      <c r="M11" s="8">
        <f t="array" ref="M11">IFERROR(VLOOKUP(E11,Avaluacio[],COLUMN(Avaluacio[% compliment]),FALSE),"")</f>
        <v>1</v>
      </c>
    </row>
    <row r="12" spans="1:13" ht="30" x14ac:dyDescent="0.2">
      <c r="A12" t="str">
        <f t="array" ref="A12">IFERROR(IF(VLOOKUP($E12,Avaluacio[],COLUMN(Avaluacio[Codi ítem]),FALSE)=$E12,'1_Plantejament'!$B$5,""),"")</f>
        <v xml:space="preserve">Ajuntament de la Tallada d'Empordà </v>
      </c>
      <c r="B12">
        <f t="array" ref="B12">IFERROR(IF(VLOOKUP($E12,Avaluacio[],COLUMN(Avaluacio[Codi ítem]),FALSE)=$E12,'1_Plantejament'!$B$9,""),"")</f>
        <v>2026</v>
      </c>
      <c r="C12">
        <f t="array" ref="C12">IFERROR(IF(VLOOKUP($E12,Avaluacio[],COLUMN(Avaluacio[Codi ítem]),FALSE)=$E12,'1_Plantejament'!$B$10,""),"")</f>
        <v>46205</v>
      </c>
      <c r="D12" s="6" t="str">
        <f t="array" ref="D12">IFERROR(IF(VLOOKUP($E12,Avaluacio[],COLUMN(Avaluacio[Codi ítem]),FALSE)=$E12,'1_Plantejament'!$B$7,""),"")</f>
        <v>Fase 5</v>
      </c>
      <c r="E12" s="6" t="str">
        <f t="array" ref="E12">IFERROR(INDEX(Avaluacio[Codi ítem],(MATCH(0,INDEX(COUNTIF(E$1:E11,Avaluacio[Codi ítem]),0,0)+INDEX(Avaluacio[Avaluable]="No",0,0),0))),"")</f>
        <v>XGO012</v>
      </c>
      <c r="F12" s="45" t="str">
        <f t="array" ref="F12">IFERROR(VLOOKUP(E12,Avaluacio[],COLUMN(Avaluacio[Ítem]),FALSE),"")</f>
        <v>Informació del terme municipal</v>
      </c>
      <c r="G12" t="str">
        <f t="array" ref="G12">IFERROR(VLOOKUP(E12,Avaluacio[],COLUMN(Avaluacio[Família]),FALSE),"")</f>
        <v>Informació institucional i organitzativa</v>
      </c>
      <c r="H12" t="str">
        <f t="array" ref="H12">IFERROR(VLOOKUP(E12,Avaluacio[],COLUMN(Avaluacio[Subfamília]),FALSE),"")</f>
        <v>Informació institucional</v>
      </c>
      <c r="I12" s="6" t="str">
        <f t="array" ref="I12">IFERROR(VLOOKUP(E12,Avaluacio[],COLUMN(Avaluacio[Contingut]),FALSE),"")</f>
        <v>Sí</v>
      </c>
      <c r="J12" s="6" t="str">
        <f t="array" ref="J12">IFERROR(VLOOKUP(E12,Avaluacio[],COLUMN(Avaluacio[Actualització]),FALSE),"")</f>
        <v>Sí</v>
      </c>
      <c r="K12" s="6" t="str">
        <f t="array" ref="K12">IFERROR(VLOOKUP(E12,Avaluacio[],COLUMN(#REF!),FALSE),"")</f>
        <v/>
      </c>
      <c r="L12" t="str">
        <f t="array" ref="L12">IFERROR(VLOOKUP(E12,Avaluacio[],COLUMN(Avaluacio[Grau de compliment]),FALSE),"")</f>
        <v>Compleix totalment</v>
      </c>
      <c r="M12" s="8">
        <f t="array" ref="M12">IFERROR(VLOOKUP(E12,Avaluacio[],COLUMN(Avaluacio[% compliment]),FALSE),"")</f>
        <v>1</v>
      </c>
    </row>
    <row r="13" spans="1:13" ht="28.5" x14ac:dyDescent="0.2">
      <c r="A13" t="str">
        <f t="array" ref="A13">IFERROR(IF(VLOOKUP($E13,Avaluacio[],COLUMN(Avaluacio[Codi ítem]),FALSE)=$E13,'1_Plantejament'!$B$5,""),"")</f>
        <v xml:space="preserve">Ajuntament de la Tallada d'Empordà </v>
      </c>
      <c r="B13">
        <f t="array" ref="B13">IFERROR(IF(VLOOKUP($E13,Avaluacio[],COLUMN(Avaluacio[Codi ítem]),FALSE)=$E13,'1_Plantejament'!$B$9,""),"")</f>
        <v>2026</v>
      </c>
      <c r="C13">
        <f t="array" ref="C13">IFERROR(IF(VLOOKUP($E13,Avaluacio[],COLUMN(Avaluacio[Codi ítem]),FALSE)=$E13,'1_Plantejament'!$B$10,""),"")</f>
        <v>46205</v>
      </c>
      <c r="D13" s="6" t="str">
        <f t="array" ref="D13">IFERROR(IF(VLOOKUP($E13,Avaluacio[],COLUMN(Avaluacio[Codi ítem]),FALSE)=$E13,'1_Plantejament'!$B$7,""),"")</f>
        <v>Fase 5</v>
      </c>
      <c r="E13" s="6" t="str">
        <f t="array" ref="E13">IFERROR(INDEX(Avaluacio[Codi ítem],(MATCH(0,INDEX(COUNTIF(E$1:E12,Avaluacio[Codi ítem]),0,0)+INDEX(Avaluacio[Avaluable]="No",0,0),0))),"")</f>
        <v>XGO013</v>
      </c>
      <c r="F13" s="45" t="str">
        <f t="array" ref="F13">IFERROR(VLOOKUP(E13,Avaluacio[],COLUMN(Avaluacio[Ítem]),FALSE),"")</f>
        <v>Dades estadístiques</v>
      </c>
      <c r="G13" t="str">
        <f t="array" ref="G13">IFERROR(VLOOKUP(E13,Avaluacio[],COLUMN(Avaluacio[Família]),FALSE),"")</f>
        <v>Informació institucional i organitzativa</v>
      </c>
      <c r="H13" t="str">
        <f t="array" ref="H13">IFERROR(VLOOKUP(E13,Avaluacio[],COLUMN(Avaluacio[Subfamília]),FALSE),"")</f>
        <v>Informació institucional</v>
      </c>
      <c r="I13" s="6" t="str">
        <f t="array" ref="I13">IFERROR(VLOOKUP(E13,Avaluacio[],COLUMN(Avaluacio[Contingut]),FALSE),"")</f>
        <v>Sí</v>
      </c>
      <c r="J13" s="6" t="str">
        <f t="array" ref="J13">IFERROR(VLOOKUP(E13,Avaluacio[],COLUMN(Avaluacio[Actualització]),FALSE),"")</f>
        <v>Sí</v>
      </c>
      <c r="K13" s="6" t="str">
        <f t="array" ref="K13">IFERROR(VLOOKUP(E13,Avaluacio[],COLUMN(#REF!),FALSE),"")</f>
        <v/>
      </c>
      <c r="L13" t="str">
        <f t="array" ref="L13">IFERROR(VLOOKUP(E13,Avaluacio[],COLUMN(Avaluacio[Grau de compliment]),FALSE),"")</f>
        <v>Compleix totalment</v>
      </c>
      <c r="M13" s="8">
        <f t="array" ref="M13">IFERROR(VLOOKUP(E13,Avaluacio[],COLUMN(Avaluacio[% compliment]),FALSE),"")</f>
        <v>1</v>
      </c>
    </row>
    <row r="14" spans="1:13" ht="30" x14ac:dyDescent="0.2">
      <c r="A14" t="str">
        <f t="array" ref="A14">IFERROR(IF(VLOOKUP($E14,Avaluacio[],COLUMN(Avaluacio[Codi ítem]),FALSE)=$E14,'1_Plantejament'!$B$5,""),"")</f>
        <v xml:space="preserve">Ajuntament de la Tallada d'Empordà </v>
      </c>
      <c r="B14">
        <f t="array" ref="B14">IFERROR(IF(VLOOKUP($E14,Avaluacio[],COLUMN(Avaluacio[Codi ítem]),FALSE)=$E14,'1_Plantejament'!$B$9,""),"")</f>
        <v>2026</v>
      </c>
      <c r="C14">
        <f t="array" ref="C14">IFERROR(IF(VLOOKUP($E14,Avaluacio[],COLUMN(Avaluacio[Codi ítem]),FALSE)=$E14,'1_Plantejament'!$B$10,""),"")</f>
        <v>46205</v>
      </c>
      <c r="D14" s="6" t="str">
        <f t="array" ref="D14">IFERROR(IF(VLOOKUP($E14,Avaluacio[],COLUMN(Avaluacio[Codi ítem]),FALSE)=$E14,'1_Plantejament'!$B$7,""),"")</f>
        <v>Fase 5</v>
      </c>
      <c r="E14" s="6" t="str">
        <f t="array" ref="E14">IFERROR(INDEX(Avaluacio[Codi ítem],(MATCH(0,INDEX(COUNTIF(E$1:E13,Avaluacio[Codi ítem]),0,0)+INDEX(Avaluacio[Avaluable]="No",0,0),0))),"")</f>
        <v>XGO014</v>
      </c>
      <c r="F14" s="45" t="str">
        <f t="array" ref="F14">IFERROR(VLOOKUP(E14,Avaluacio[],COLUMN(Avaluacio[Ítem]),FALSE),"")</f>
        <v>Registre de funcionaris habilitats</v>
      </c>
      <c r="G14" t="str">
        <f t="array" ref="G14">IFERROR(VLOOKUP(E14,Avaluacio[],COLUMN(Avaluacio[Família]),FALSE),"")</f>
        <v>Informació institucional i organitzativa</v>
      </c>
      <c r="H14" t="str">
        <f t="array" ref="H14">IFERROR(VLOOKUP(E14,Avaluacio[],COLUMN(Avaluacio[Subfamília]),FALSE),"")</f>
        <v>Informació institucional</v>
      </c>
      <c r="I14" s="6" t="str">
        <f t="array" ref="I14">IFERROR(VLOOKUP(E14,Avaluacio[],COLUMN(Avaluacio[Contingut]),FALSE),"")</f>
        <v>Sí</v>
      </c>
      <c r="J14" s="6" t="str">
        <f t="array" ref="J14">IFERROR(VLOOKUP(E14,Avaluacio[],COLUMN(Avaluacio[Actualització]),FALSE),"")</f>
        <v>Sí</v>
      </c>
      <c r="K14" s="6" t="str">
        <f t="array" ref="K14">IFERROR(VLOOKUP(E14,Avaluacio[],COLUMN(#REF!),FALSE),"")</f>
        <v/>
      </c>
      <c r="L14" t="str">
        <f t="array" ref="L14">IFERROR(VLOOKUP(E14,Avaluacio[],COLUMN(Avaluacio[Grau de compliment]),FALSE),"")</f>
        <v>Compleix totalment</v>
      </c>
      <c r="M14" s="8">
        <f t="array" ref="M14">IFERROR(VLOOKUP(E14,Avaluacio[],COLUMN(Avaluacio[% compliment]),FALSE),"")</f>
        <v>1</v>
      </c>
    </row>
    <row r="15" spans="1:13" ht="30" x14ac:dyDescent="0.2">
      <c r="A15" t="str">
        <f t="array" ref="A15">IFERROR(IF(VLOOKUP($E15,Avaluacio[],COLUMN(Avaluacio[Codi ítem]),FALSE)=$E15,'1_Plantejament'!$B$5,""),"")</f>
        <v xml:space="preserve">Ajuntament de la Tallada d'Empordà </v>
      </c>
      <c r="B15">
        <f t="array" ref="B15">IFERROR(IF(VLOOKUP($E15,Avaluacio[],COLUMN(Avaluacio[Codi ítem]),FALSE)=$E15,'1_Plantejament'!$B$9,""),"")</f>
        <v>2026</v>
      </c>
      <c r="C15">
        <f t="array" ref="C15">IFERROR(IF(VLOOKUP($E15,Avaluacio[],COLUMN(Avaluacio[Codi ítem]),FALSE)=$E15,'1_Plantejament'!$B$10,""),"")</f>
        <v>46205</v>
      </c>
      <c r="D15" s="6" t="str">
        <f t="array" ref="D15">IFERROR(IF(VLOOKUP($E15,Avaluacio[],COLUMN(Avaluacio[Codi ítem]),FALSE)=$E15,'1_Plantejament'!$B$7,""),"")</f>
        <v>Fase 5</v>
      </c>
      <c r="E15" s="6" t="str">
        <f t="array" ref="E15">IFERROR(INDEX(Avaluacio[Codi ítem],(MATCH(0,INDEX(COUNTIF(E$1:E14,Avaluacio[Codi ítem]),0,0)+INDEX(Avaluacio[Avaluable]="No",0,0),0))),"")</f>
        <v>XGO015</v>
      </c>
      <c r="F15" s="45" t="str">
        <f t="array" ref="F15">IFERROR(VLOOKUP(E15,Avaluacio[],COLUMN(Avaluacio[Ítem]),FALSE),"")</f>
        <v>Informació proporcionada per les entitats privades</v>
      </c>
      <c r="G15" t="str">
        <f t="array" ref="G15">IFERROR(VLOOKUP(E15,Avaluacio[],COLUMN(Avaluacio[Família]),FALSE),"")</f>
        <v>Informació institucional i organitzativa</v>
      </c>
      <c r="H15" t="str">
        <f t="array" ref="H15">IFERROR(VLOOKUP(E15,Avaluacio[],COLUMN(Avaluacio[Subfamília]),FALSE),"")</f>
        <v>Informació institucional</v>
      </c>
      <c r="I15" s="6" t="str">
        <f t="array" ref="I15">IFERROR(VLOOKUP(E15,Avaluacio[],COLUMN(Avaluacio[Contingut]),FALSE),"")</f>
        <v>Sí</v>
      </c>
      <c r="J15" s="6" t="str">
        <f t="array" ref="J15">IFERROR(VLOOKUP(E15,Avaluacio[],COLUMN(Avaluacio[Actualització]),FALSE),"")</f>
        <v>Sí</v>
      </c>
      <c r="K15" s="6" t="str">
        <f t="array" ref="K15">IFERROR(VLOOKUP(E15,Avaluacio[],COLUMN(#REF!),FALSE),"")</f>
        <v/>
      </c>
      <c r="L15" t="str">
        <f t="array" ref="L15">IFERROR(VLOOKUP(E15,Avaluacio[],COLUMN(Avaluacio[Grau de compliment]),FALSE),"")</f>
        <v>Compleix totalment</v>
      </c>
      <c r="M15" s="8">
        <f t="array" ref="M15">IFERROR(VLOOKUP(E15,Avaluacio[],COLUMN(Avaluacio[% compliment]),FALSE),"")</f>
        <v>1</v>
      </c>
    </row>
    <row r="16" spans="1:13" ht="30" x14ac:dyDescent="0.2">
      <c r="A16" t="str">
        <f t="array" ref="A16">IFERROR(IF(VLOOKUP($E16,Avaluacio[],COLUMN(Avaluacio[Codi ítem]),FALSE)=$E16,'1_Plantejament'!$B$5,""),"")</f>
        <v xml:space="preserve">Ajuntament de la Tallada d'Empordà </v>
      </c>
      <c r="B16">
        <f t="array" ref="B16">IFERROR(IF(VLOOKUP($E16,Avaluacio[],COLUMN(Avaluacio[Codi ítem]),FALSE)=$E16,'1_Plantejament'!$B$9,""),"")</f>
        <v>2026</v>
      </c>
      <c r="C16">
        <f t="array" ref="C16">IFERROR(IF(VLOOKUP($E16,Avaluacio[],COLUMN(Avaluacio[Codi ítem]),FALSE)=$E16,'1_Plantejament'!$B$10,""),"")</f>
        <v>46205</v>
      </c>
      <c r="D16" s="6" t="str">
        <f t="array" ref="D16">IFERROR(IF(VLOOKUP($E16,Avaluacio[],COLUMN(Avaluacio[Codi ítem]),FALSE)=$E16,'1_Plantejament'!$B$7,""),"")</f>
        <v>Fase 5</v>
      </c>
      <c r="E16" s="6" t="str">
        <f t="array" ref="E16">IFERROR(INDEX(Avaluacio[Codi ítem],(MATCH(0,INDEX(COUNTIF(E$1:E15,Avaluacio[Codi ítem]),0,0)+INDEX(Avaluacio[Avaluable]="No",0,0),0))),"")</f>
        <v>XGO016</v>
      </c>
      <c r="F16" s="45" t="str">
        <f t="array" ref="F16">IFERROR(VLOOKUP(E16,Avaluacio[],COLUMN(Avaluacio[Ítem]),FALSE),"")</f>
        <v>Cartipàs: organització política</v>
      </c>
      <c r="G16" t="str">
        <f t="array" ref="G16">IFERROR(VLOOKUP(E16,Avaluacio[],COLUMN(Avaluacio[Família]),FALSE),"")</f>
        <v>Informació institucional i organitzativa</v>
      </c>
      <c r="H16" t="str">
        <f t="array" ref="H16">IFERROR(VLOOKUP(E16,Avaluacio[],COLUMN(Avaluacio[Subfamília]),FALSE),"")</f>
        <v>Organització política i retribucions</v>
      </c>
      <c r="I16" s="6" t="str">
        <f t="array" ref="I16">IFERROR(VLOOKUP(E16,Avaluacio[],COLUMN(Avaluacio[Contingut]),FALSE),"")</f>
        <v>Sí</v>
      </c>
      <c r="J16" s="6" t="str">
        <f t="array" ref="J16">IFERROR(VLOOKUP(E16,Avaluacio[],COLUMN(Avaluacio[Actualització]),FALSE),"")</f>
        <v>Sí</v>
      </c>
      <c r="K16" s="6" t="str">
        <f t="array" ref="K16">IFERROR(VLOOKUP(E16,Avaluacio[],COLUMN(#REF!),FALSE),"")</f>
        <v/>
      </c>
      <c r="L16" t="str">
        <f t="array" ref="L16">IFERROR(VLOOKUP(E16,Avaluacio[],COLUMN(Avaluacio[Grau de compliment]),FALSE),"")</f>
        <v>Compleix totalment</v>
      </c>
      <c r="M16" s="8">
        <f t="array" ref="M16">IFERROR(VLOOKUP(E16,Avaluacio[],COLUMN(Avaluacio[% compliment]),FALSE),"")</f>
        <v>1</v>
      </c>
    </row>
    <row r="17" spans="1:13" ht="28.5" x14ac:dyDescent="0.2">
      <c r="A17" t="str">
        <f t="array" ref="A17">IFERROR(IF(VLOOKUP($E17,Avaluacio[],COLUMN(Avaluacio[Codi ítem]),FALSE)=$E17,'1_Plantejament'!$B$5,""),"")</f>
        <v xml:space="preserve">Ajuntament de la Tallada d'Empordà </v>
      </c>
      <c r="B17">
        <f t="array" ref="B17">IFERROR(IF(VLOOKUP($E17,Avaluacio[],COLUMN(Avaluacio[Codi ítem]),FALSE)=$E17,'1_Plantejament'!$B$9,""),"")</f>
        <v>2026</v>
      </c>
      <c r="C17">
        <f t="array" ref="C17">IFERROR(IF(VLOOKUP($E17,Avaluacio[],COLUMN(Avaluacio[Codi ítem]),FALSE)=$E17,'1_Plantejament'!$B$10,""),"")</f>
        <v>46205</v>
      </c>
      <c r="D17" s="6" t="str">
        <f t="array" ref="D17">IFERROR(IF(VLOOKUP($E17,Avaluacio[],COLUMN(Avaluacio[Codi ítem]),FALSE)=$E17,'1_Plantejament'!$B$7,""),"")</f>
        <v>Fase 5</v>
      </c>
      <c r="E17" s="6" t="str">
        <f t="array" ref="E17">IFERROR(INDEX(Avaluacio[Codi ítem],(MATCH(0,INDEX(COUNTIF(E$1:E16,Avaluacio[Codi ítem]),0,0)+INDEX(Avaluacio[Avaluable]="No",0,0),0))),"")</f>
        <v>XGO017</v>
      </c>
      <c r="F17" s="45" t="str">
        <f t="array" ref="F17">IFERROR(VLOOKUP(E17,Avaluacio[],COLUMN(Avaluacio[Ítem]),FALSE),"")</f>
        <v>Càrrecs electes</v>
      </c>
      <c r="G17" t="str">
        <f t="array" ref="G17">IFERROR(VLOOKUP(E17,Avaluacio[],COLUMN(Avaluacio[Família]),FALSE),"")</f>
        <v>Informació institucional i organitzativa</v>
      </c>
      <c r="H17" t="str">
        <f t="array" ref="H17">IFERROR(VLOOKUP(E17,Avaluacio[],COLUMN(Avaluacio[Subfamília]),FALSE),"")</f>
        <v>Organització política i retribucions</v>
      </c>
      <c r="I17" s="6" t="str">
        <f t="array" ref="I17">IFERROR(VLOOKUP(E17,Avaluacio[],COLUMN(Avaluacio[Contingut]),FALSE),"")</f>
        <v>Sí</v>
      </c>
      <c r="J17" s="6" t="str">
        <f t="array" ref="J17">IFERROR(VLOOKUP(E17,Avaluacio[],COLUMN(Avaluacio[Actualització]),FALSE),"")</f>
        <v>Sí</v>
      </c>
      <c r="K17" s="6" t="str">
        <f t="array" ref="K17">IFERROR(VLOOKUP(E17,Avaluacio[],COLUMN(#REF!),FALSE),"")</f>
        <v/>
      </c>
      <c r="L17" t="str">
        <f t="array" ref="L17">IFERROR(VLOOKUP(E17,Avaluacio[],COLUMN(Avaluacio[Grau de compliment]),FALSE),"")</f>
        <v>Compleix totalment</v>
      </c>
      <c r="M17" s="8">
        <f t="array" ref="M17">IFERROR(VLOOKUP(E17,Avaluacio[],COLUMN(Avaluacio[% compliment]),FALSE),"")</f>
        <v>1</v>
      </c>
    </row>
    <row r="18" spans="1:13" ht="28.5" x14ac:dyDescent="0.2">
      <c r="A18" t="str">
        <f t="array" ref="A18">IFERROR(IF(VLOOKUP($E18,Avaluacio[],COLUMN(Avaluacio[Codi ítem]),FALSE)=$E18,'1_Plantejament'!$B$5,""),"")</f>
        <v xml:space="preserve">Ajuntament de la Tallada d'Empordà </v>
      </c>
      <c r="B18">
        <f t="array" ref="B18">IFERROR(IF(VLOOKUP($E18,Avaluacio[],COLUMN(Avaluacio[Codi ítem]),FALSE)=$E18,'1_Plantejament'!$B$9,""),"")</f>
        <v>2026</v>
      </c>
      <c r="C18">
        <f t="array" ref="C18">IFERROR(IF(VLOOKUP($E18,Avaluacio[],COLUMN(Avaluacio[Codi ítem]),FALSE)=$E18,'1_Plantejament'!$B$10,""),"")</f>
        <v>46205</v>
      </c>
      <c r="D18" s="6" t="str">
        <f t="array" ref="D18">IFERROR(IF(VLOOKUP($E18,Avaluacio[],COLUMN(Avaluacio[Codi ítem]),FALSE)=$E18,'1_Plantejament'!$B$7,""),"")</f>
        <v>Fase 5</v>
      </c>
      <c r="E18" s="6" t="str">
        <f t="array" ref="E18">IFERROR(INDEX(Avaluacio[Codi ítem],(MATCH(0,INDEX(COUNTIF(E$1:E17,Avaluacio[Codi ítem]),0,0)+INDEX(Avaluacio[Avaluable]="No",0,0),0))),"")</f>
        <v>XGO018</v>
      </c>
      <c r="F18" s="45" t="str">
        <f t="array" ref="F18">IFERROR(VLOOKUP(E18,Avaluacio[],COLUMN(Avaluacio[Ítem]),FALSE),"")</f>
        <v>Grups polítics/municipals</v>
      </c>
      <c r="G18" t="str">
        <f t="array" ref="G18">IFERROR(VLOOKUP(E18,Avaluacio[],COLUMN(Avaluacio[Família]),FALSE),"")</f>
        <v>Informació institucional i organitzativa</v>
      </c>
      <c r="H18" t="str">
        <f t="array" ref="H18">IFERROR(VLOOKUP(E18,Avaluacio[],COLUMN(Avaluacio[Subfamília]),FALSE),"")</f>
        <v>Organització política i retribucions</v>
      </c>
      <c r="I18" s="6" t="str">
        <f t="array" ref="I18">IFERROR(VLOOKUP(E18,Avaluacio[],COLUMN(Avaluacio[Contingut]),FALSE),"")</f>
        <v>Sí</v>
      </c>
      <c r="J18" s="6" t="str">
        <f t="array" ref="J18">IFERROR(VLOOKUP(E18,Avaluacio[],COLUMN(Avaluacio[Actualització]),FALSE),"")</f>
        <v>Sí</v>
      </c>
      <c r="K18" s="6" t="str">
        <f t="array" ref="K18">IFERROR(VLOOKUP(E18,Avaluacio[],COLUMN(#REF!),FALSE),"")</f>
        <v/>
      </c>
      <c r="L18" t="str">
        <f t="array" ref="L18">IFERROR(VLOOKUP(E18,Avaluacio[],COLUMN(Avaluacio[Grau de compliment]),FALSE),"")</f>
        <v>Compleix totalment</v>
      </c>
      <c r="M18" s="8">
        <f t="array" ref="M18">IFERROR(VLOOKUP(E18,Avaluacio[],COLUMN(Avaluacio[% compliment]),FALSE),"")</f>
        <v>1</v>
      </c>
    </row>
    <row r="19" spans="1:13" ht="28.5" x14ac:dyDescent="0.2">
      <c r="A19" t="str">
        <f t="array" ref="A19">IFERROR(IF(VLOOKUP($E19,Avaluacio[],COLUMN(Avaluacio[Codi ítem]),FALSE)=$E19,'1_Plantejament'!$B$5,""),"")</f>
        <v xml:space="preserve">Ajuntament de la Tallada d'Empordà </v>
      </c>
      <c r="B19">
        <f t="array" ref="B19">IFERROR(IF(VLOOKUP($E19,Avaluacio[],COLUMN(Avaluacio[Codi ítem]),FALSE)=$E19,'1_Plantejament'!$B$9,""),"")</f>
        <v>2026</v>
      </c>
      <c r="C19">
        <f t="array" ref="C19">IFERROR(IF(VLOOKUP($E19,Avaluacio[],COLUMN(Avaluacio[Codi ítem]),FALSE)=$E19,'1_Plantejament'!$B$10,""),"")</f>
        <v>46205</v>
      </c>
      <c r="D19" s="6" t="str">
        <f t="array" ref="D19">IFERROR(IF(VLOOKUP($E19,Avaluacio[],COLUMN(Avaluacio[Codi ítem]),FALSE)=$E19,'1_Plantejament'!$B$7,""),"")</f>
        <v>Fase 5</v>
      </c>
      <c r="E19" s="6" t="str">
        <f t="array" ref="E19">IFERROR(INDEX(Avaluacio[Codi ítem],(MATCH(0,INDEX(COUNTIF(E$1:E18,Avaluacio[Codi ítem]),0,0)+INDEX(Avaluacio[Avaluable]="No",0,0),0))),"")</f>
        <v>XGO019</v>
      </c>
      <c r="F19" s="45" t="str">
        <f t="array" ref="F19">IFERROR(VLOOKUP(E19,Avaluacio[],COLUMN(Avaluacio[Ítem]),FALSE),"")</f>
        <v>Òrgans de govern i funcions</v>
      </c>
      <c r="G19" t="str">
        <f t="array" ref="G19">IFERROR(VLOOKUP(E19,Avaluacio[],COLUMN(Avaluacio[Família]),FALSE),"")</f>
        <v>Informació institucional i organitzativa</v>
      </c>
      <c r="H19" t="str">
        <f t="array" ref="H19">IFERROR(VLOOKUP(E19,Avaluacio[],COLUMN(Avaluacio[Subfamília]),FALSE),"")</f>
        <v>Organització política i retribucions</v>
      </c>
      <c r="I19" s="6" t="str">
        <f t="array" ref="I19">IFERROR(VLOOKUP(E19,Avaluacio[],COLUMN(Avaluacio[Contingut]),FALSE),"")</f>
        <v>Sí</v>
      </c>
      <c r="J19" s="6" t="str">
        <f t="array" ref="J19">IFERROR(VLOOKUP(E19,Avaluacio[],COLUMN(Avaluacio[Actualització]),FALSE),"")</f>
        <v>Sí</v>
      </c>
      <c r="K19" s="6" t="str">
        <f t="array" ref="K19">IFERROR(VLOOKUP(E19,Avaluacio[],COLUMN(#REF!),FALSE),"")</f>
        <v/>
      </c>
      <c r="L19" t="str">
        <f t="array" ref="L19">IFERROR(VLOOKUP(E19,Avaluacio[],COLUMN(Avaluacio[Grau de compliment]),FALSE),"")</f>
        <v>Compleix totalment</v>
      </c>
      <c r="M19" s="8">
        <f t="array" ref="M19">IFERROR(VLOOKUP(E19,Avaluacio[],COLUMN(Avaluacio[% compliment]),FALSE),"")</f>
        <v>1</v>
      </c>
    </row>
    <row r="20" spans="1:13" ht="30" x14ac:dyDescent="0.2">
      <c r="A20" t="str">
        <f t="array" ref="A20">IFERROR(IF(VLOOKUP($E20,Avaluacio[],COLUMN(Avaluacio[Codi ítem]),FALSE)=$E20,'1_Plantejament'!$B$5,""),"")</f>
        <v xml:space="preserve">Ajuntament de la Tallada d'Empordà </v>
      </c>
      <c r="B20">
        <f t="array" ref="B20">IFERROR(IF(VLOOKUP($E20,Avaluacio[],COLUMN(Avaluacio[Codi ítem]),FALSE)=$E20,'1_Plantejament'!$B$9,""),"")</f>
        <v>2026</v>
      </c>
      <c r="C20">
        <f t="array" ref="C20">IFERROR(IF(VLOOKUP($E20,Avaluacio[],COLUMN(Avaluacio[Codi ítem]),FALSE)=$E20,'1_Plantejament'!$B$10,""),"")</f>
        <v>46205</v>
      </c>
      <c r="D20" s="6" t="str">
        <f t="array" ref="D20">IFERROR(IF(VLOOKUP($E20,Avaluacio[],COLUMN(Avaluacio[Codi ítem]),FALSE)=$E20,'1_Plantejament'!$B$7,""),"")</f>
        <v>Fase 5</v>
      </c>
      <c r="E20" s="6" t="str">
        <f t="array" ref="E20">IFERROR(INDEX(Avaluacio[Codi ítem],(MATCH(0,INDEX(COUNTIF(E$1:E19,Avaluacio[Codi ítem]),0,0)+INDEX(Avaluacio[Avaluable]="No",0,0),0))),"")</f>
        <v>XGO020</v>
      </c>
      <c r="F20" s="45" t="str">
        <f t="array" ref="F20">IFERROR(VLOOKUP(E20,Avaluacio[],COLUMN(Avaluacio[Ítem]),FALSE),"")</f>
        <v>Alts càrrecs, personal directiu i càrrecs eventuals</v>
      </c>
      <c r="G20" t="str">
        <f t="array" ref="G20">IFERROR(VLOOKUP(E20,Avaluacio[],COLUMN(Avaluacio[Família]),FALSE),"")</f>
        <v>Informació institucional i organitzativa</v>
      </c>
      <c r="H20" t="str">
        <f t="array" ref="H20">IFERROR(VLOOKUP(E20,Avaluacio[],COLUMN(Avaluacio[Subfamília]),FALSE),"")</f>
        <v>Organització política i retribucions</v>
      </c>
      <c r="I20" s="6" t="str">
        <f t="array" ref="I20">IFERROR(VLOOKUP(E20,Avaluacio[],COLUMN(Avaluacio[Contingut]),FALSE),"")</f>
        <v>Sí</v>
      </c>
      <c r="J20" s="6" t="str">
        <f t="array" ref="J20">IFERROR(VLOOKUP(E20,Avaluacio[],COLUMN(Avaluacio[Actualització]),FALSE),"")</f>
        <v>Sí</v>
      </c>
      <c r="K20" s="6" t="str">
        <f t="array" ref="K20">IFERROR(VLOOKUP(E20,Avaluacio[],COLUMN(#REF!),FALSE),"")</f>
        <v/>
      </c>
      <c r="L20" t="str">
        <f t="array" ref="L20">IFERROR(VLOOKUP(E20,Avaluacio[],COLUMN(Avaluacio[Grau de compliment]),FALSE),"")</f>
        <v>Compleix totalment</v>
      </c>
      <c r="M20" s="8">
        <f t="array" ref="M20">IFERROR(VLOOKUP(E20,Avaluacio[],COLUMN(Avaluacio[% compliment]),FALSE),"")</f>
        <v>1</v>
      </c>
    </row>
    <row r="21" spans="1:13" ht="75" x14ac:dyDescent="0.2">
      <c r="A21" t="str">
        <f t="array" ref="A21">IFERROR(IF(VLOOKUP($E21,Avaluacio[],COLUMN(Avaluacio[Codi ítem]),FALSE)=$E21,'1_Plantejament'!$B$5,""),"")</f>
        <v xml:space="preserve">Ajuntament de la Tallada d'Empordà </v>
      </c>
      <c r="B21">
        <f t="array" ref="B21">IFERROR(IF(VLOOKUP($E21,Avaluacio[],COLUMN(Avaluacio[Codi ítem]),FALSE)=$E21,'1_Plantejament'!$B$9,""),"")</f>
        <v>2026</v>
      </c>
      <c r="C21">
        <f t="array" ref="C21">IFERROR(IF(VLOOKUP($E21,Avaluacio[],COLUMN(Avaluacio[Codi ítem]),FALSE)=$E21,'1_Plantejament'!$B$10,""),"")</f>
        <v>46205</v>
      </c>
      <c r="D21" s="6" t="str">
        <f t="array" ref="D21">IFERROR(IF(VLOOKUP($E21,Avaluacio[],COLUMN(Avaluacio[Codi ítem]),FALSE)=$E21,'1_Plantejament'!$B$7,""),"")</f>
        <v>Fase 5</v>
      </c>
      <c r="E21" s="6" t="str">
        <f t="array" ref="E21">IFERROR(INDEX(Avaluacio[Codi ítem],(MATCH(0,INDEX(COUNTIF(E$1:E20,Avaluacio[Codi ítem]),0,0)+INDEX(Avaluacio[Avaluable]="No",0,0),0))),"")</f>
        <v>XGO021</v>
      </c>
      <c r="F21" s="45" t="str">
        <f t="array" ref="F21">IFERROR(VLOOKUP(E21,Avaluacio[],COLUMN(Avaluacio[Ítem]),FALSE),"")</f>
        <v>Resolucions relatives a les declaracions d'activitats, patrimonials i d'interessos dels alts càrrecs i del personal directiu</v>
      </c>
      <c r="G21" t="str">
        <f t="array" ref="G21">IFERROR(VLOOKUP(E21,Avaluacio[],COLUMN(Avaluacio[Família]),FALSE),"")</f>
        <v>Informació institucional i organitzativa</v>
      </c>
      <c r="H21" t="str">
        <f t="array" ref="H21">IFERROR(VLOOKUP(E21,Avaluacio[],COLUMN(Avaluacio[Subfamília]),FALSE),"")</f>
        <v>Organització política i retribucions</v>
      </c>
      <c r="I21" s="6" t="str">
        <f t="array" ref="I21">IFERROR(VLOOKUP(E21,Avaluacio[],COLUMN(Avaluacio[Contingut]),FALSE),"")</f>
        <v>No</v>
      </c>
      <c r="J21" s="6" t="str">
        <f t="array" ref="J21">IFERROR(VLOOKUP(E21,Avaluacio[],COLUMN(Avaluacio[Actualització]),FALSE),"")</f>
        <v>No</v>
      </c>
      <c r="K21" s="6" t="str">
        <f t="array" ref="K21">IFERROR(VLOOKUP(E21,Avaluacio[],COLUMN(#REF!),FALSE),"")</f>
        <v/>
      </c>
      <c r="L21" t="str">
        <f t="array" ref="L21">IFERROR(VLOOKUP(E21,Avaluacio[],COLUMN(Avaluacio[Grau de compliment]),FALSE),"")</f>
        <v>No compleix</v>
      </c>
      <c r="M21" s="8">
        <f t="array" ref="M21">IFERROR(VLOOKUP(E21,Avaluacio[],COLUMN(Avaluacio[% compliment]),FALSE),"")</f>
        <v>0</v>
      </c>
    </row>
    <row r="22" spans="1:13" ht="45" x14ac:dyDescent="0.2">
      <c r="A22" t="str">
        <f t="array" ref="A22">IFERROR(IF(VLOOKUP($E22,Avaluacio[],COLUMN(Avaluacio[Codi ítem]),FALSE)=$E22,'1_Plantejament'!$B$5,""),"")</f>
        <v xml:space="preserve">Ajuntament de la Tallada d'Empordà </v>
      </c>
      <c r="B22">
        <f t="array" ref="B22">IFERROR(IF(VLOOKUP($E22,Avaluacio[],COLUMN(Avaluacio[Codi ítem]),FALSE)=$E22,'1_Plantejament'!$B$9,""),"")</f>
        <v>2026</v>
      </c>
      <c r="C22">
        <f t="array" ref="C22">IFERROR(IF(VLOOKUP($E22,Avaluacio[],COLUMN(Avaluacio[Codi ítem]),FALSE)=$E22,'1_Plantejament'!$B$10,""),"")</f>
        <v>46205</v>
      </c>
      <c r="D22" s="6" t="str">
        <f t="array" ref="D22">IFERROR(IF(VLOOKUP($E22,Avaluacio[],COLUMN(Avaluacio[Codi ítem]),FALSE)=$E22,'1_Plantejament'!$B$7,""),"")</f>
        <v>Fase 5</v>
      </c>
      <c r="E22" s="6" t="str">
        <f t="array" ref="E22">IFERROR(INDEX(Avaluacio[Codi ítem],(MATCH(0,INDEX(COUNTIF(E$1:E21,Avaluacio[Codi ítem]),0,0)+INDEX(Avaluacio[Avaluable]="No",0,0),0))),"")</f>
        <v>XGO022</v>
      </c>
      <c r="F22" s="45" t="str">
        <f t="array" ref="F22">IFERROR(VLOOKUP(E22,Avaluacio[],COLUMN(Avaluacio[Ítem]),FALSE),"")</f>
        <v>Resolucions sobre el règim d'incompatibilitats dels alts càrrecs i personal directiu</v>
      </c>
      <c r="G22" t="str">
        <f t="array" ref="G22">IFERROR(VLOOKUP(E22,Avaluacio[],COLUMN(Avaluacio[Família]),FALSE),"")</f>
        <v>Informació institucional i organitzativa</v>
      </c>
      <c r="H22" t="str">
        <f t="array" ref="H22">IFERROR(VLOOKUP(E22,Avaluacio[],COLUMN(Avaluacio[Subfamília]),FALSE),"")</f>
        <v>Organització política i retribucions</v>
      </c>
      <c r="I22" s="6" t="str">
        <f t="array" ref="I22">IFERROR(VLOOKUP(E22,Avaluacio[],COLUMN(Avaluacio[Contingut]),FALSE),"")</f>
        <v>No</v>
      </c>
      <c r="J22" s="6" t="str">
        <f t="array" ref="J22">IFERROR(VLOOKUP(E22,Avaluacio[],COLUMN(Avaluacio[Actualització]),FALSE),"")</f>
        <v>No</v>
      </c>
      <c r="K22" s="6" t="str">
        <f t="array" ref="K22">IFERROR(VLOOKUP(E22,Avaluacio[],COLUMN(#REF!),FALSE),"")</f>
        <v/>
      </c>
      <c r="L22" t="str">
        <f t="array" ref="L22">IFERROR(VLOOKUP(E22,Avaluacio[],COLUMN(Avaluacio[Grau de compliment]),FALSE),"")</f>
        <v>No compleix</v>
      </c>
      <c r="M22" s="8">
        <f t="array" ref="M22">IFERROR(VLOOKUP(E22,Avaluacio[],COLUMN(Avaluacio[% compliment]),FALSE),"")</f>
        <v>0</v>
      </c>
    </row>
    <row r="23" spans="1:13" ht="28.5" x14ac:dyDescent="0.2">
      <c r="A23" t="str">
        <f t="array" ref="A23">IFERROR(IF(VLOOKUP($E23,Avaluacio[],COLUMN(Avaluacio[Codi ítem]),FALSE)=$E23,'1_Plantejament'!$B$5,""),"")</f>
        <v xml:space="preserve">Ajuntament de la Tallada d'Empordà </v>
      </c>
      <c r="B23">
        <f t="array" ref="B23">IFERROR(IF(VLOOKUP($E23,Avaluacio[],COLUMN(Avaluacio[Codi ítem]),FALSE)=$E23,'1_Plantejament'!$B$9,""),"")</f>
        <v>2026</v>
      </c>
      <c r="C23">
        <f t="array" ref="C23">IFERROR(IF(VLOOKUP($E23,Avaluacio[],COLUMN(Avaluacio[Codi ítem]),FALSE)=$E23,'1_Plantejament'!$B$10,""),"")</f>
        <v>46205</v>
      </c>
      <c r="D23" s="6" t="str">
        <f t="array" ref="D23">IFERROR(IF(VLOOKUP($E23,Avaluacio[],COLUMN(Avaluacio[Codi ítem]),FALSE)=$E23,'1_Plantejament'!$B$7,""),"")</f>
        <v>Fase 5</v>
      </c>
      <c r="E23" s="6" t="str">
        <f t="array" ref="E23">IFERROR(INDEX(Avaluacio[Codi ítem],(MATCH(0,INDEX(COUNTIF(E$1:E22,Avaluacio[Codi ítem]),0,0)+INDEX(Avaluacio[Avaluable]="No",0,0),0))),"")</f>
        <v>XGO023</v>
      </c>
      <c r="F23" s="45" t="str">
        <f t="array" ref="F23">IFERROR(VLOOKUP(E23,Avaluacio[],COLUMN(Avaluacio[Ítem]),FALSE),"")</f>
        <v>Plantilla d'empleats públics</v>
      </c>
      <c r="G23" t="str">
        <f t="array" ref="G23">IFERROR(VLOOKUP(E23,Avaluacio[],COLUMN(Avaluacio[Família]),FALSE),"")</f>
        <v>Informació institucional i organitzativa</v>
      </c>
      <c r="H23" t="str">
        <f t="array" ref="H23">IFERROR(VLOOKUP(E23,Avaluacio[],COLUMN(Avaluacio[Subfamília]),FALSE),"")</f>
        <v>Empleats públics</v>
      </c>
      <c r="I23" s="6" t="str">
        <f t="array" ref="I23">IFERROR(VLOOKUP(E23,Avaluacio[],COLUMN(Avaluacio[Contingut]),FALSE),"")</f>
        <v>Sí</v>
      </c>
      <c r="J23" s="6" t="str">
        <f t="array" ref="J23">IFERROR(VLOOKUP(E23,Avaluacio[],COLUMN(Avaluacio[Actualització]),FALSE),"")</f>
        <v>Sí</v>
      </c>
      <c r="K23" s="6" t="str">
        <f t="array" ref="K23">IFERROR(VLOOKUP(E23,Avaluacio[],COLUMN(#REF!),FALSE),"")</f>
        <v/>
      </c>
      <c r="L23" t="str">
        <f t="array" ref="L23">IFERROR(VLOOKUP(E23,Avaluacio[],COLUMN(Avaluacio[Grau de compliment]),FALSE),"")</f>
        <v>Compleix totalment</v>
      </c>
      <c r="M23" s="8">
        <f t="array" ref="M23">IFERROR(VLOOKUP(E23,Avaluacio[],COLUMN(Avaluacio[% compliment]),FALSE),"")</f>
        <v>1</v>
      </c>
    </row>
    <row r="24" spans="1:13" ht="30" x14ac:dyDescent="0.2">
      <c r="A24" t="str">
        <f t="array" ref="A24">IFERROR(IF(VLOOKUP($E24,Avaluacio[],COLUMN(Avaluacio[Codi ítem]),FALSE)=$E24,'1_Plantejament'!$B$5,""),"")</f>
        <v xml:space="preserve">Ajuntament de la Tallada d'Empordà </v>
      </c>
      <c r="B24">
        <f t="array" ref="B24">IFERROR(IF(VLOOKUP($E24,Avaluacio[],COLUMN(Avaluacio[Codi ítem]),FALSE)=$E24,'1_Plantejament'!$B$9,""),"")</f>
        <v>2026</v>
      </c>
      <c r="C24">
        <f t="array" ref="C24">IFERROR(IF(VLOOKUP($E24,Avaluacio[],COLUMN(Avaluacio[Codi ítem]),FALSE)=$E24,'1_Plantejament'!$B$10,""),"")</f>
        <v>46205</v>
      </c>
      <c r="D24" s="6" t="str">
        <f t="array" ref="D24">IFERROR(IF(VLOOKUP($E24,Avaluacio[],COLUMN(Avaluacio[Codi ítem]),FALSE)=$E24,'1_Plantejament'!$B$7,""),"")</f>
        <v>Fase 5</v>
      </c>
      <c r="E24" s="6" t="str">
        <f t="array" ref="E24">IFERROR(INDEX(Avaluacio[Codi ítem],(MATCH(0,INDEX(COUNTIF(E$1:E23,Avaluacio[Codi ítem]),0,0)+INDEX(Avaluacio[Avaluable]="No",0,0),0))),"")</f>
        <v>XGO024</v>
      </c>
      <c r="F24" s="45" t="str">
        <f t="array" ref="F24">IFERROR(VLOOKUP(E24,Avaluacio[],COLUMN(Avaluacio[Ítem]),FALSE),"")</f>
        <v>Relació de llocs de treball (RLT)</v>
      </c>
      <c r="G24" t="str">
        <f t="array" ref="G24">IFERROR(VLOOKUP(E24,Avaluacio[],COLUMN(Avaluacio[Família]),FALSE),"")</f>
        <v>Informació institucional i organitzativa</v>
      </c>
      <c r="H24" t="str">
        <f t="array" ref="H24">IFERROR(VLOOKUP(E24,Avaluacio[],COLUMN(Avaluacio[Subfamília]),FALSE),"")</f>
        <v>Empleats públics</v>
      </c>
      <c r="I24" s="6" t="str">
        <f t="array" ref="I24">IFERROR(VLOOKUP(E24,Avaluacio[],COLUMN(Avaluacio[Contingut]),FALSE),"")</f>
        <v>Sí</v>
      </c>
      <c r="J24" s="6" t="str">
        <f t="array" ref="J24">IFERROR(VLOOKUP(E24,Avaluacio[],COLUMN(Avaluacio[Actualització]),FALSE),"")</f>
        <v>Sí</v>
      </c>
      <c r="K24" s="6" t="str">
        <f t="array" ref="K24">IFERROR(VLOOKUP(E24,Avaluacio[],COLUMN(#REF!),FALSE),"")</f>
        <v/>
      </c>
      <c r="L24" t="str">
        <f t="array" ref="L24">IFERROR(VLOOKUP(E24,Avaluacio[],COLUMN(Avaluacio[Grau de compliment]),FALSE),"")</f>
        <v>Compleix totalment</v>
      </c>
      <c r="M24" s="8">
        <f t="array" ref="M24">IFERROR(VLOOKUP(E24,Avaluacio[],COLUMN(Avaluacio[% compliment]),FALSE),"")</f>
        <v>1</v>
      </c>
    </row>
    <row r="25" spans="1:13" ht="28.5" x14ac:dyDescent="0.2">
      <c r="A25" t="str">
        <f t="array" ref="A25">IFERROR(IF(VLOOKUP($E25,Avaluacio[],COLUMN(Avaluacio[Codi ítem]),FALSE)=$E25,'1_Plantejament'!$B$5,""),"")</f>
        <v xml:space="preserve">Ajuntament de la Tallada d'Empordà </v>
      </c>
      <c r="B25">
        <f t="array" ref="B25">IFERROR(IF(VLOOKUP($E25,Avaluacio[],COLUMN(Avaluacio[Codi ítem]),FALSE)=$E25,'1_Plantejament'!$B$9,""),"")</f>
        <v>2026</v>
      </c>
      <c r="C25">
        <f t="array" ref="C25">IFERROR(IF(VLOOKUP($E25,Avaluacio[],COLUMN(Avaluacio[Codi ítem]),FALSE)=$E25,'1_Plantejament'!$B$10,""),"")</f>
        <v>46205</v>
      </c>
      <c r="D25" s="6" t="str">
        <f t="array" ref="D25">IFERROR(IF(VLOOKUP($E25,Avaluacio[],COLUMN(Avaluacio[Codi ítem]),FALSE)=$E25,'1_Plantejament'!$B$7,""),"")</f>
        <v>Fase 5</v>
      </c>
      <c r="E25" s="6" t="str">
        <f t="array" ref="E25">IFERROR(INDEX(Avaluacio[Codi ítem],(MATCH(0,INDEX(COUNTIF(E$1:E24,Avaluacio[Codi ítem]),0,0)+INDEX(Avaluacio[Avaluable]="No",0,0),0))),"")</f>
        <v>XGO025</v>
      </c>
      <c r="F25" s="45" t="str">
        <f t="array" ref="F25">IFERROR(VLOOKUP(E25,Avaluacio[],COLUMN(Avaluacio[Ítem]),FALSE),"")</f>
        <v>Tècnics de l'ens</v>
      </c>
      <c r="G25" t="str">
        <f t="array" ref="G25">IFERROR(VLOOKUP(E25,Avaluacio[],COLUMN(Avaluacio[Família]),FALSE),"")</f>
        <v>Informació institucional i organitzativa</v>
      </c>
      <c r="H25" t="str">
        <f t="array" ref="H25">IFERROR(VLOOKUP(E25,Avaluacio[],COLUMN(Avaluacio[Subfamília]),FALSE),"")</f>
        <v>Empleats públics</v>
      </c>
      <c r="I25" s="6" t="str">
        <f t="array" ref="I25">IFERROR(VLOOKUP(E25,Avaluacio[],COLUMN(Avaluacio[Contingut]),FALSE),"")</f>
        <v>Sí</v>
      </c>
      <c r="J25" s="6" t="str">
        <f t="array" ref="J25">IFERROR(VLOOKUP(E25,Avaluacio[],COLUMN(Avaluacio[Actualització]),FALSE),"")</f>
        <v>Sí</v>
      </c>
      <c r="K25" s="6" t="str">
        <f t="array" ref="K25">IFERROR(VLOOKUP(E25,Avaluacio[],COLUMN(#REF!),FALSE),"")</f>
        <v/>
      </c>
      <c r="L25" t="str">
        <f t="array" ref="L25">IFERROR(VLOOKUP(E25,Avaluacio[],COLUMN(Avaluacio[Grau de compliment]),FALSE),"")</f>
        <v>Compleix totalment</v>
      </c>
      <c r="M25" s="8">
        <f t="array" ref="M25">IFERROR(VLOOKUP(E25,Avaluacio[],COLUMN(Avaluacio[% compliment]),FALSE),"")</f>
        <v>1</v>
      </c>
    </row>
    <row r="26" spans="1:13" ht="30" x14ac:dyDescent="0.2">
      <c r="A26" t="str">
        <f t="array" ref="A26">IFERROR(IF(VLOOKUP($E26,Avaluacio[],COLUMN(Avaluacio[Codi ítem]),FALSE)=$E26,'1_Plantejament'!$B$5,""),"")</f>
        <v xml:space="preserve">Ajuntament de la Tallada d'Empordà </v>
      </c>
      <c r="B26">
        <f t="array" ref="B26">IFERROR(IF(VLOOKUP($E26,Avaluacio[],COLUMN(Avaluacio[Codi ítem]),FALSE)=$E26,'1_Plantejament'!$B$9,""),"")</f>
        <v>2026</v>
      </c>
      <c r="C26">
        <f t="array" ref="C26">IFERROR(IF(VLOOKUP($E26,Avaluacio[],COLUMN(Avaluacio[Codi ítem]),FALSE)=$E26,'1_Plantejament'!$B$10,""),"")</f>
        <v>46205</v>
      </c>
      <c r="D26" s="6" t="str">
        <f t="array" ref="D26">IFERROR(IF(VLOOKUP($E26,Avaluacio[],COLUMN(Avaluacio[Codi ítem]),FALSE)=$E26,'1_Plantejament'!$B$7,""),"")</f>
        <v>Fase 5</v>
      </c>
      <c r="E26" s="6" t="str">
        <f t="array" ref="E26">IFERROR(INDEX(Avaluacio[Codi ítem],(MATCH(0,INDEX(COUNTIF(E$1:E25,Avaluacio[Codi ítem]),0,0)+INDEX(Avaluacio[Avaluable]="No",0,0),0))),"")</f>
        <v>XGO026</v>
      </c>
      <c r="F26" s="45" t="str">
        <f t="array" ref="F26">IFERROR(VLOOKUP(E26,Avaluacio[],COLUMN(Avaluacio[Ítem]),FALSE),"")</f>
        <v>Responsable de comunicació/premsa</v>
      </c>
      <c r="G26" t="str">
        <f t="array" ref="G26">IFERROR(VLOOKUP(E26,Avaluacio[],COLUMN(Avaluacio[Família]),FALSE),"")</f>
        <v>Informació institucional i organitzativa</v>
      </c>
      <c r="H26" t="str">
        <f t="array" ref="H26">IFERROR(VLOOKUP(E26,Avaluacio[],COLUMN(Avaluacio[Subfamília]),FALSE),"")</f>
        <v>Empleats públics</v>
      </c>
      <c r="I26" s="6" t="str">
        <f t="array" ref="I26">IFERROR(VLOOKUP(E26,Avaluacio[],COLUMN(Avaluacio[Contingut]),FALSE),"")</f>
        <v>Sí</v>
      </c>
      <c r="J26" s="6" t="str">
        <f t="array" ref="J26">IFERROR(VLOOKUP(E26,Avaluacio[],COLUMN(Avaluacio[Actualització]),FALSE),"")</f>
        <v>Sí</v>
      </c>
      <c r="K26" s="6" t="str">
        <f t="array" ref="K26">IFERROR(VLOOKUP(E26,Avaluacio[],COLUMN(#REF!),FALSE),"")</f>
        <v/>
      </c>
      <c r="L26" t="str">
        <f t="array" ref="L26">IFERROR(VLOOKUP(E26,Avaluacio[],COLUMN(Avaluacio[Grau de compliment]),FALSE),"")</f>
        <v>Compleix totalment</v>
      </c>
      <c r="M26" s="8">
        <f t="array" ref="M26">IFERROR(VLOOKUP(E26,Avaluacio[],COLUMN(Avaluacio[% compliment]),FALSE),"")</f>
        <v>1</v>
      </c>
    </row>
    <row r="27" spans="1:13" ht="30" x14ac:dyDescent="0.2">
      <c r="A27" t="str">
        <f t="array" ref="A27">IFERROR(IF(VLOOKUP($E27,Avaluacio[],COLUMN(Avaluacio[Codi ítem]),FALSE)=$E27,'1_Plantejament'!$B$5,""),"")</f>
        <v xml:space="preserve">Ajuntament de la Tallada d'Empordà </v>
      </c>
      <c r="B27">
        <f t="array" ref="B27">IFERROR(IF(VLOOKUP($E27,Avaluacio[],COLUMN(Avaluacio[Codi ítem]),FALSE)=$E27,'1_Plantejament'!$B$9,""),"")</f>
        <v>2026</v>
      </c>
      <c r="C27">
        <f t="array" ref="C27">IFERROR(IF(VLOOKUP($E27,Avaluacio[],COLUMN(Avaluacio[Codi ítem]),FALSE)=$E27,'1_Plantejament'!$B$10,""),"")</f>
        <v>46205</v>
      </c>
      <c r="D27" s="6" t="str">
        <f t="array" ref="D27">IFERROR(IF(VLOOKUP($E27,Avaluacio[],COLUMN(Avaluacio[Codi ítem]),FALSE)=$E27,'1_Plantejament'!$B$7,""),"")</f>
        <v>Fase 5</v>
      </c>
      <c r="E27" s="6" t="str">
        <f t="array" ref="E27">IFERROR(INDEX(Avaluacio[Codi ítem],(MATCH(0,INDEX(COUNTIF(E$1:E26,Avaluacio[Codi ítem]),0,0)+INDEX(Avaluacio[Avaluable]="No",0,0),0))),"")</f>
        <v>XGO027</v>
      </c>
      <c r="F27" s="45" t="str">
        <f t="array" ref="F27">IFERROR(VLOOKUP(E27,Avaluacio[],COLUMN(Avaluacio[Ítem]),FALSE),"")</f>
        <v>Relació de contractes temporals i d'interinatge</v>
      </c>
      <c r="G27" t="str">
        <f t="array" ref="G27">IFERROR(VLOOKUP(E27,Avaluacio[],COLUMN(Avaluacio[Família]),FALSE),"")</f>
        <v>Informació institucional i organitzativa</v>
      </c>
      <c r="H27" t="str">
        <f t="array" ref="H27">IFERROR(VLOOKUP(E27,Avaluacio[],COLUMN(Avaluacio[Subfamília]),FALSE),"")</f>
        <v>Empleats públics</v>
      </c>
      <c r="I27" s="6" t="str">
        <f t="array" ref="I27">IFERROR(VLOOKUP(E27,Avaluacio[],COLUMN(Avaluacio[Contingut]),FALSE),"")</f>
        <v>Sí</v>
      </c>
      <c r="J27" s="6" t="str">
        <f t="array" ref="J27">IFERROR(VLOOKUP(E27,Avaluacio[],COLUMN(Avaluacio[Actualització]),FALSE),"")</f>
        <v>Sí</v>
      </c>
      <c r="K27" s="6" t="str">
        <f t="array" ref="K27">IFERROR(VLOOKUP(E27,Avaluacio[],COLUMN(#REF!),FALSE),"")</f>
        <v/>
      </c>
      <c r="L27" t="str">
        <f t="array" ref="L27">IFERROR(VLOOKUP(E27,Avaluacio[],COLUMN(Avaluacio[Grau de compliment]),FALSE),"")</f>
        <v>Compleix totalment</v>
      </c>
      <c r="M27" s="8">
        <f t="array" ref="M27">IFERROR(VLOOKUP(E27,Avaluacio[],COLUMN(Avaluacio[% compliment]),FALSE),"")</f>
        <v>1</v>
      </c>
    </row>
    <row r="28" spans="1:13" ht="45" x14ac:dyDescent="0.2">
      <c r="A28" t="str">
        <f t="array" ref="A28">IFERROR(IF(VLOOKUP($E28,Avaluacio[],COLUMN(Avaluacio[Codi ítem]),FALSE)=$E28,'1_Plantejament'!$B$5,""),"")</f>
        <v xml:space="preserve">Ajuntament de la Tallada d'Empordà </v>
      </c>
      <c r="B28">
        <f t="array" ref="B28">IFERROR(IF(VLOOKUP($E28,Avaluacio[],COLUMN(Avaluacio[Codi ítem]),FALSE)=$E28,'1_Plantejament'!$B$9,""),"")</f>
        <v>2026</v>
      </c>
      <c r="C28">
        <f t="array" ref="C28">IFERROR(IF(VLOOKUP($E28,Avaluacio[],COLUMN(Avaluacio[Codi ítem]),FALSE)=$E28,'1_Plantejament'!$B$10,""),"")</f>
        <v>46205</v>
      </c>
      <c r="D28" s="6" t="str">
        <f t="array" ref="D28">IFERROR(IF(VLOOKUP($E28,Avaluacio[],COLUMN(Avaluacio[Codi ítem]),FALSE)=$E28,'1_Plantejament'!$B$7,""),"")</f>
        <v>Fase 5</v>
      </c>
      <c r="E28" s="6" t="str">
        <f t="array" ref="E28">IFERROR(INDEX(Avaluacio[Codi ítem],(MATCH(0,INDEX(COUNTIF(E$1:E27,Avaluacio[Codi ítem]),0,0)+INDEX(Avaluacio[Avaluable]="No",0,0),0))),"")</f>
        <v>XGO028</v>
      </c>
      <c r="F28" s="45" t="str">
        <f t="array" ref="F28">IFERROR(VLOOKUP(E28,Avaluacio[],COLUMN(Avaluacio[Ítem]),FALSE),"")</f>
        <v>Retribucions, indemnitzacions i dietes dels empleats públics</v>
      </c>
      <c r="G28" t="str">
        <f t="array" ref="G28">IFERROR(VLOOKUP(E28,Avaluacio[],COLUMN(Avaluacio[Família]),FALSE),"")</f>
        <v>Informació institucional i organitzativa</v>
      </c>
      <c r="H28" t="str">
        <f t="array" ref="H28">IFERROR(VLOOKUP(E28,Avaluacio[],COLUMN(Avaluacio[Subfamília]),FALSE),"")</f>
        <v>Empleats públics</v>
      </c>
      <c r="I28" s="6" t="str">
        <f t="array" ref="I28">IFERROR(VLOOKUP(E28,Avaluacio[],COLUMN(Avaluacio[Contingut]),FALSE),"")</f>
        <v>No</v>
      </c>
      <c r="J28" s="6" t="str">
        <f t="array" ref="J28">IFERROR(VLOOKUP(E28,Avaluacio[],COLUMN(Avaluacio[Actualització]),FALSE),"")</f>
        <v>No</v>
      </c>
      <c r="K28" s="6" t="str">
        <f t="array" ref="K28">IFERROR(VLOOKUP(E28,Avaluacio[],COLUMN(#REF!),FALSE),"")</f>
        <v/>
      </c>
      <c r="L28" t="str">
        <f t="array" ref="L28">IFERROR(VLOOKUP(E28,Avaluacio[],COLUMN(Avaluacio[Grau de compliment]),FALSE),"")</f>
        <v>No compleix</v>
      </c>
      <c r="M28" s="8">
        <f t="array" ref="M28">IFERROR(VLOOKUP(E28,Avaluacio[],COLUMN(Avaluacio[% compliment]),FALSE),"")</f>
        <v>0</v>
      </c>
    </row>
    <row r="29" spans="1:13" ht="28.5" x14ac:dyDescent="0.2">
      <c r="A29" t="str">
        <f t="array" ref="A29">IFERROR(IF(VLOOKUP($E29,Avaluacio[],COLUMN(Avaluacio[Codi ítem]),FALSE)=$E29,'1_Plantejament'!$B$5,""),"")</f>
        <v xml:space="preserve">Ajuntament de la Tallada d'Empordà </v>
      </c>
      <c r="B29">
        <f t="array" ref="B29">IFERROR(IF(VLOOKUP($E29,Avaluacio[],COLUMN(Avaluacio[Codi ítem]),FALSE)=$E29,'1_Plantejament'!$B$9,""),"")</f>
        <v>2026</v>
      </c>
      <c r="C29">
        <f t="array" ref="C29">IFERROR(IF(VLOOKUP($E29,Avaluacio[],COLUMN(Avaluacio[Codi ítem]),FALSE)=$E29,'1_Plantejament'!$B$10,""),"")</f>
        <v>46205</v>
      </c>
      <c r="D29" s="6" t="str">
        <f t="array" ref="D29">IFERROR(IF(VLOOKUP($E29,Avaluacio[],COLUMN(Avaluacio[Codi ítem]),FALSE)=$E29,'1_Plantejament'!$B$7,""),"")</f>
        <v>Fase 5</v>
      </c>
      <c r="E29" s="6" t="str">
        <f t="array" ref="E29">IFERROR(INDEX(Avaluacio[Codi ítem],(MATCH(0,INDEX(COUNTIF(E$1:E28,Avaluacio[Codi ítem]),0,0)+INDEX(Avaluacio[Avaluable]="No",0,0),0))),"")</f>
        <v>XGO029</v>
      </c>
      <c r="F29" s="45" t="str">
        <f t="array" ref="F29">IFERROR(VLOOKUP(E29,Avaluacio[],COLUMN(Avaluacio[Ítem]),FALSE),"")</f>
        <v>Convocatòries de personal</v>
      </c>
      <c r="G29" t="str">
        <f t="array" ref="G29">IFERROR(VLOOKUP(E29,Avaluacio[],COLUMN(Avaluacio[Família]),FALSE),"")</f>
        <v>Informació institucional i organitzativa</v>
      </c>
      <c r="H29" t="str">
        <f t="array" ref="H29">IFERROR(VLOOKUP(E29,Avaluacio[],COLUMN(Avaluacio[Subfamília]),FALSE),"")</f>
        <v>Empleats públics</v>
      </c>
      <c r="I29" s="6" t="str">
        <f t="array" ref="I29">IFERROR(VLOOKUP(E29,Avaluacio[],COLUMN(Avaluacio[Contingut]),FALSE),"")</f>
        <v>Sí</v>
      </c>
      <c r="J29" s="6" t="str">
        <f t="array" ref="J29">IFERROR(VLOOKUP(E29,Avaluacio[],COLUMN(Avaluacio[Actualització]),FALSE),"")</f>
        <v>Sí</v>
      </c>
      <c r="K29" s="6" t="str">
        <f t="array" ref="K29">IFERROR(VLOOKUP(E29,Avaluacio[],COLUMN(#REF!),FALSE),"")</f>
        <v/>
      </c>
      <c r="L29" t="str">
        <f t="array" ref="L29">IFERROR(VLOOKUP(E29,Avaluacio[],COLUMN(Avaluacio[Grau de compliment]),FALSE),"")</f>
        <v>Compleix totalment</v>
      </c>
      <c r="M29" s="8">
        <f t="array" ref="M29">IFERROR(VLOOKUP(E29,Avaluacio[],COLUMN(Avaluacio[% compliment]),FALSE),"")</f>
        <v>1</v>
      </c>
    </row>
    <row r="30" spans="1:13" ht="30" x14ac:dyDescent="0.2">
      <c r="A30" t="str">
        <f t="array" ref="A30">IFERROR(IF(VLOOKUP($E30,Avaluacio[],COLUMN(Avaluacio[Codi ítem]),FALSE)=$E30,'1_Plantejament'!$B$5,""),"")</f>
        <v xml:space="preserve">Ajuntament de la Tallada d'Empordà </v>
      </c>
      <c r="B30">
        <f t="array" ref="B30">IFERROR(IF(VLOOKUP($E30,Avaluacio[],COLUMN(Avaluacio[Codi ítem]),FALSE)=$E30,'1_Plantejament'!$B$9,""),"")</f>
        <v>2026</v>
      </c>
      <c r="C30">
        <f t="array" ref="C30">IFERROR(IF(VLOOKUP($E30,Avaluacio[],COLUMN(Avaluacio[Codi ítem]),FALSE)=$E30,'1_Plantejament'!$B$10,""),"")</f>
        <v>46205</v>
      </c>
      <c r="D30" s="6" t="str">
        <f t="array" ref="D30">IFERROR(IF(VLOOKUP($E30,Avaluacio[],COLUMN(Avaluacio[Codi ítem]),FALSE)=$E30,'1_Plantejament'!$B$7,""),"")</f>
        <v>Fase 5</v>
      </c>
      <c r="E30" s="6" t="str">
        <f t="array" ref="E30">IFERROR(INDEX(Avaluacio[Codi ítem],(MATCH(0,INDEX(COUNTIF(E$1:E29,Avaluacio[Codi ítem]),0,0)+INDEX(Avaluacio[Avaluable]="No",0,0),0))),"")</f>
        <v>XGO030</v>
      </c>
      <c r="F30" s="45" t="str">
        <f t="array" ref="F30">IFERROR(VLOOKUP(E30,Avaluacio[],COLUMN(Avaluacio[Ítem]),FALSE),"")</f>
        <v>Resultats de les convocatòries de personal</v>
      </c>
      <c r="G30" t="str">
        <f t="array" ref="G30">IFERROR(VLOOKUP(E30,Avaluacio[],COLUMN(Avaluacio[Família]),FALSE),"")</f>
        <v>Informació institucional i organitzativa</v>
      </c>
      <c r="H30" t="str">
        <f t="array" ref="H30">IFERROR(VLOOKUP(E30,Avaluacio[],COLUMN(Avaluacio[Subfamília]),FALSE),"")</f>
        <v>Empleats públics</v>
      </c>
      <c r="I30" s="6" t="str">
        <f t="array" ref="I30">IFERROR(VLOOKUP(E30,Avaluacio[],COLUMN(Avaluacio[Contingut]),FALSE),"")</f>
        <v>Sí</v>
      </c>
      <c r="J30" s="6" t="str">
        <f t="array" ref="J30">IFERROR(VLOOKUP(E30,Avaluacio[],COLUMN(Avaluacio[Actualització]),FALSE),"")</f>
        <v>Sí</v>
      </c>
      <c r="K30" s="6" t="str">
        <f t="array" ref="K30">IFERROR(VLOOKUP(E30,Avaluacio[],COLUMN(#REF!),FALSE),"")</f>
        <v/>
      </c>
      <c r="L30" t="str">
        <f t="array" ref="L30">IFERROR(VLOOKUP(E30,Avaluacio[],COLUMN(Avaluacio[Grau de compliment]),FALSE),"")</f>
        <v>Compleix totalment</v>
      </c>
      <c r="M30" s="8">
        <f t="array" ref="M30">IFERROR(VLOOKUP(E30,Avaluacio[],COLUMN(Avaluacio[% compliment]),FALSE),"")</f>
        <v>1</v>
      </c>
    </row>
    <row r="31" spans="1:13" ht="45" x14ac:dyDescent="0.2">
      <c r="A31" t="str">
        <f t="array" ref="A31">IFERROR(IF(VLOOKUP($E31,Avaluacio[],COLUMN(Avaluacio[Codi ítem]),FALSE)=$E31,'1_Plantejament'!$B$5,""),"")</f>
        <v xml:space="preserve">Ajuntament de la Tallada d'Empordà </v>
      </c>
      <c r="B31">
        <f t="array" ref="B31">IFERROR(IF(VLOOKUP($E31,Avaluacio[],COLUMN(Avaluacio[Codi ítem]),FALSE)=$E31,'1_Plantejament'!$B$9,""),"")</f>
        <v>2026</v>
      </c>
      <c r="C31">
        <f t="array" ref="C31">IFERROR(IF(VLOOKUP($E31,Avaluacio[],COLUMN(Avaluacio[Codi ítem]),FALSE)=$E31,'1_Plantejament'!$B$10,""),"")</f>
        <v>46205</v>
      </c>
      <c r="D31" s="6" t="str">
        <f t="array" ref="D31">IFERROR(IF(VLOOKUP($E31,Avaluacio[],COLUMN(Avaluacio[Codi ítem]),FALSE)=$E31,'1_Plantejament'!$B$7,""),"")</f>
        <v>Fase 5</v>
      </c>
      <c r="E31" s="6" t="str">
        <f t="array" ref="E31">IFERROR(INDEX(Avaluacio[Codi ítem],(MATCH(0,INDEX(COUNTIF(E$1:E30,Avaluacio[Codi ítem]),0,0)+INDEX(Avaluacio[Avaluable]="No",0,0),0))),"")</f>
        <v>XGO031</v>
      </c>
      <c r="F31" s="45" t="str">
        <f t="array" ref="F31">IFERROR(VLOOKUP(E31,Avaluacio[],COLUMN(Avaluacio[Ítem]),FALSE),"")</f>
        <v>Llistes de personal per cada procés de formació i/o promoció</v>
      </c>
      <c r="G31" t="str">
        <f t="array" ref="G31">IFERROR(VLOOKUP(E31,Avaluacio[],COLUMN(Avaluacio[Família]),FALSE),"")</f>
        <v>Informació institucional i organitzativa</v>
      </c>
      <c r="H31" t="str">
        <f t="array" ref="H31">IFERROR(VLOOKUP(E31,Avaluacio[],COLUMN(Avaluacio[Subfamília]),FALSE),"")</f>
        <v>Empleats públics</v>
      </c>
      <c r="I31" s="6" t="str">
        <f t="array" ref="I31">IFERROR(VLOOKUP(E31,Avaluacio[],COLUMN(Avaluacio[Contingut]),FALSE),"")</f>
        <v>No</v>
      </c>
      <c r="J31" s="6" t="str">
        <f t="array" ref="J31">IFERROR(VLOOKUP(E31,Avaluacio[],COLUMN(Avaluacio[Actualització]),FALSE),"")</f>
        <v>No</v>
      </c>
      <c r="K31" s="6" t="str">
        <f t="array" ref="K31">IFERROR(VLOOKUP(E31,Avaluacio[],COLUMN(#REF!),FALSE),"")</f>
        <v/>
      </c>
      <c r="L31" t="str">
        <f t="array" ref="L31">IFERROR(VLOOKUP(E31,Avaluacio[],COLUMN(Avaluacio[Grau de compliment]),FALSE),"")</f>
        <v>No compleix</v>
      </c>
      <c r="M31" s="8">
        <f t="array" ref="M31">IFERROR(VLOOKUP(E31,Avaluacio[],COLUMN(Avaluacio[% compliment]),FALSE),"")</f>
        <v>0</v>
      </c>
    </row>
    <row r="32" spans="1:13" ht="45" x14ac:dyDescent="0.2">
      <c r="A32" t="str">
        <f t="array" ref="A32">IFERROR(IF(VLOOKUP($E32,Avaluacio[],COLUMN(Avaluacio[Codi ítem]),FALSE)=$E32,'1_Plantejament'!$B$5,""),"")</f>
        <v xml:space="preserve">Ajuntament de la Tallada d'Empordà </v>
      </c>
      <c r="B32">
        <f t="array" ref="B32">IFERROR(IF(VLOOKUP($E32,Avaluacio[],COLUMN(Avaluacio[Codi ítem]),FALSE)=$E32,'1_Plantejament'!$B$9,""),"")</f>
        <v>2026</v>
      </c>
      <c r="C32">
        <f t="array" ref="C32">IFERROR(IF(VLOOKUP($E32,Avaluacio[],COLUMN(Avaluacio[Codi ítem]),FALSE)=$E32,'1_Plantejament'!$B$10,""),"")</f>
        <v>46205</v>
      </c>
      <c r="D32" s="6" t="str">
        <f t="array" ref="D32">IFERROR(IF(VLOOKUP($E32,Avaluacio[],COLUMN(Avaluacio[Codi ítem]),FALSE)=$E32,'1_Plantejament'!$B$7,""),"")</f>
        <v>Fase 5</v>
      </c>
      <c r="E32" s="6" t="str">
        <f t="array" ref="E32">IFERROR(INDEX(Avaluacio[Codi ítem],(MATCH(0,INDEX(COUNTIF(E$1:E31,Avaluacio[Codi ítem]),0,0)+INDEX(Avaluacio[Avaluable]="No",0,0),0))),"")</f>
        <v>XGO032</v>
      </c>
      <c r="F32" s="45" t="str">
        <f t="array" ref="F32">IFERROR(VLOOKUP(E32,Avaluacio[],COLUMN(Avaluacio[Ítem]),FALSE),"")</f>
        <v>Convenis, acords, pactes de caràcter funcionarial, laboral o sindical</v>
      </c>
      <c r="G32" t="str">
        <f t="array" ref="G32">IFERROR(VLOOKUP(E32,Avaluacio[],COLUMN(Avaluacio[Família]),FALSE),"")</f>
        <v>Informació institucional i organitzativa</v>
      </c>
      <c r="H32" t="str">
        <f t="array" ref="H32">IFERROR(VLOOKUP(E32,Avaluacio[],COLUMN(Avaluacio[Subfamília]),FALSE),"")</f>
        <v>Empleats públics</v>
      </c>
      <c r="I32" s="6" t="str">
        <f t="array" ref="I32">IFERROR(VLOOKUP(E32,Avaluacio[],COLUMN(Avaluacio[Contingut]),FALSE),"")</f>
        <v>No</v>
      </c>
      <c r="J32" s="6" t="str">
        <f t="array" ref="J32">IFERROR(VLOOKUP(E32,Avaluacio[],COLUMN(Avaluacio[Actualització]),FALSE),"")</f>
        <v>No</v>
      </c>
      <c r="K32" s="6" t="str">
        <f t="array" ref="K32">IFERROR(VLOOKUP(E32,Avaluacio[],COLUMN(#REF!),FALSE),"")</f>
        <v/>
      </c>
      <c r="L32" t="str">
        <f t="array" ref="L32">IFERROR(VLOOKUP(E32,Avaluacio[],COLUMN(Avaluacio[Grau de compliment]),FALSE),"")</f>
        <v>No compleix</v>
      </c>
      <c r="M32" s="8">
        <f t="array" ref="M32">IFERROR(VLOOKUP(E32,Avaluacio[],COLUMN(Avaluacio[% compliment]),FALSE),"")</f>
        <v>0</v>
      </c>
    </row>
    <row r="33" spans="1:13" ht="28.5" x14ac:dyDescent="0.2">
      <c r="A33" t="str">
        <f t="array" ref="A33">IFERROR(IF(VLOOKUP($E33,Avaluacio[],COLUMN(Avaluacio[Codi ítem]),FALSE)=$E33,'1_Plantejament'!$B$5,""),"")</f>
        <v xml:space="preserve">Ajuntament de la Tallada d'Empordà </v>
      </c>
      <c r="B33">
        <f t="array" ref="B33">IFERROR(IF(VLOOKUP($E33,Avaluacio[],COLUMN(Avaluacio[Codi ítem]),FALSE)=$E33,'1_Plantejament'!$B$9,""),"")</f>
        <v>2026</v>
      </c>
      <c r="C33">
        <f t="array" ref="C33">IFERROR(IF(VLOOKUP($E33,Avaluacio[],COLUMN(Avaluacio[Codi ítem]),FALSE)=$E33,'1_Plantejament'!$B$10,""),"")</f>
        <v>46205</v>
      </c>
      <c r="D33" s="6" t="str">
        <f t="array" ref="D33">IFERROR(IF(VLOOKUP($E33,Avaluacio[],COLUMN(Avaluacio[Codi ítem]),FALSE)=$E33,'1_Plantejament'!$B$7,""),"")</f>
        <v>Fase 5</v>
      </c>
      <c r="E33" s="6" t="str">
        <f t="array" ref="E33">IFERROR(INDEX(Avaluacio[Codi ítem],(MATCH(0,INDEX(COUNTIF(E$1:E32,Avaluacio[Codi ítem]),0,0)+INDEX(Avaluacio[Avaluable]="No",0,0),0))),"")</f>
        <v>XGO033</v>
      </c>
      <c r="F33" s="45" t="str">
        <f t="array" ref="F33">IFERROR(VLOOKUP(E33,Avaluacio[],COLUMN(Avaluacio[Ítem]),FALSE),"")</f>
        <v>Alliberats sindicals</v>
      </c>
      <c r="G33" t="str">
        <f t="array" ref="G33">IFERROR(VLOOKUP(E33,Avaluacio[],COLUMN(Avaluacio[Família]),FALSE),"")</f>
        <v>Informació institucional i organitzativa</v>
      </c>
      <c r="H33" t="str">
        <f t="array" ref="H33">IFERROR(VLOOKUP(E33,Avaluacio[],COLUMN(Avaluacio[Subfamília]),FALSE),"")</f>
        <v>Empleats públics</v>
      </c>
      <c r="I33" s="6" t="str">
        <f t="array" ref="I33">IFERROR(VLOOKUP(E33,Avaluacio[],COLUMN(Avaluacio[Contingut]),FALSE),"")</f>
        <v>Sí</v>
      </c>
      <c r="J33" s="6" t="str">
        <f t="array" ref="J33">IFERROR(VLOOKUP(E33,Avaluacio[],COLUMN(Avaluacio[Actualització]),FALSE),"")</f>
        <v>Sí</v>
      </c>
      <c r="K33" s="6" t="str">
        <f t="array" ref="K33">IFERROR(VLOOKUP(E33,Avaluacio[],COLUMN(#REF!),FALSE),"")</f>
        <v/>
      </c>
      <c r="L33" t="str">
        <f t="array" ref="L33">IFERROR(VLOOKUP(E33,Avaluacio[],COLUMN(Avaluacio[Grau de compliment]),FALSE),"")</f>
        <v>Compleix totalment</v>
      </c>
      <c r="M33" s="8">
        <f t="array" ref="M33">IFERROR(VLOOKUP(E33,Avaluacio[],COLUMN(Avaluacio[% compliment]),FALSE),"")</f>
        <v>1</v>
      </c>
    </row>
    <row r="34" spans="1:13" ht="45" x14ac:dyDescent="0.2">
      <c r="A34" t="str">
        <f t="array" ref="A34">IFERROR(IF(VLOOKUP($E34,Avaluacio[],COLUMN(Avaluacio[Codi ítem]),FALSE)=$E34,'1_Plantejament'!$B$5,""),"")</f>
        <v xml:space="preserve">Ajuntament de la Tallada d'Empordà </v>
      </c>
      <c r="B34">
        <f t="array" ref="B34">IFERROR(IF(VLOOKUP($E34,Avaluacio[],COLUMN(Avaluacio[Codi ítem]),FALSE)=$E34,'1_Plantejament'!$B$9,""),"")</f>
        <v>2026</v>
      </c>
      <c r="C34">
        <f t="array" ref="C34">IFERROR(IF(VLOOKUP($E34,Avaluacio[],COLUMN(Avaluacio[Codi ítem]),FALSE)=$E34,'1_Plantejament'!$B$10,""),"")</f>
        <v>46205</v>
      </c>
      <c r="D34" s="6" t="str">
        <f t="array" ref="D34">IFERROR(IF(VLOOKUP($E34,Avaluacio[],COLUMN(Avaluacio[Codi ítem]),FALSE)=$E34,'1_Plantejament'!$B$7,""),"")</f>
        <v>Fase 5</v>
      </c>
      <c r="E34" s="6" t="str">
        <f t="array" ref="E34">IFERROR(INDEX(Avaluacio[Codi ítem],(MATCH(0,INDEX(COUNTIF(E$1:E33,Avaluacio[Codi ítem]),0,0)+INDEX(Avaluacio[Avaluable]="No",0,0),0))),"")</f>
        <v>XGO034</v>
      </c>
      <c r="F34" s="45" t="str">
        <f t="array" ref="F34">IFERROR(VLOOKUP(E34,Avaluacio[],COLUMN(Avaluacio[Ítem]),FALSE),"")</f>
        <v>Resolucions sobre el règim d'incompatibilitats dels empleats públics</v>
      </c>
      <c r="G34" t="str">
        <f t="array" ref="G34">IFERROR(VLOOKUP(E34,Avaluacio[],COLUMN(Avaluacio[Família]),FALSE),"")</f>
        <v>Informació institucional i organitzativa</v>
      </c>
      <c r="H34" t="str">
        <f t="array" ref="H34">IFERROR(VLOOKUP(E34,Avaluacio[],COLUMN(Avaluacio[Subfamília]),FALSE),"")</f>
        <v>Empleats públics</v>
      </c>
      <c r="I34" s="6" t="str">
        <f t="array" ref="I34">IFERROR(VLOOKUP(E34,Avaluacio[],COLUMN(Avaluacio[Contingut]),FALSE),"")</f>
        <v>No</v>
      </c>
      <c r="J34" s="6" t="str">
        <f t="array" ref="J34">IFERROR(VLOOKUP(E34,Avaluacio[],COLUMN(Avaluacio[Actualització]),FALSE),"")</f>
        <v>No</v>
      </c>
      <c r="K34" s="6" t="str">
        <f t="array" ref="K34">IFERROR(VLOOKUP(E34,Avaluacio[],COLUMN(#REF!),FALSE),"")</f>
        <v/>
      </c>
      <c r="L34" t="str">
        <f t="array" ref="L34">IFERROR(VLOOKUP(E34,Avaluacio[],COLUMN(Avaluacio[Grau de compliment]),FALSE),"")</f>
        <v>No compleix</v>
      </c>
      <c r="M34" s="8">
        <f t="array" ref="M34">IFERROR(VLOOKUP(E34,Avaluacio[],COLUMN(Avaluacio[% compliment]),FALSE),"")</f>
        <v>0</v>
      </c>
    </row>
    <row r="35" spans="1:13" ht="30" x14ac:dyDescent="0.2">
      <c r="A35" t="str">
        <f t="array" ref="A35">IFERROR(IF(VLOOKUP($E35,Avaluacio[],COLUMN(Avaluacio[Codi ítem]),FALSE)=$E35,'1_Plantejament'!$B$5,""),"")</f>
        <v xml:space="preserve">Ajuntament de la Tallada d'Empordà </v>
      </c>
      <c r="B35">
        <f t="array" ref="B35">IFERROR(IF(VLOOKUP($E35,Avaluacio[],COLUMN(Avaluacio[Codi ítem]),FALSE)=$E35,'1_Plantejament'!$B$9,""),"")</f>
        <v>2026</v>
      </c>
      <c r="C35">
        <f t="array" ref="C35">IFERROR(IF(VLOOKUP($E35,Avaluacio[],COLUMN(Avaluacio[Codi ítem]),FALSE)=$E35,'1_Plantejament'!$B$10,""),"")</f>
        <v>46205</v>
      </c>
      <c r="D35" s="6" t="str">
        <f t="array" ref="D35">IFERROR(IF(VLOOKUP($E35,Avaluacio[],COLUMN(Avaluacio[Codi ítem]),FALSE)=$E35,'1_Plantejament'!$B$7,""),"")</f>
        <v>Fase 5</v>
      </c>
      <c r="E35" s="6" t="str">
        <f t="array" ref="E35">IFERROR(INDEX(Avaluacio[Codi ítem],(MATCH(0,INDEX(COUNTIF(E$1:E34,Avaluacio[Codi ítem]),0,0)+INDEX(Avaluacio[Avaluable]="No",0,0),0))),"")</f>
        <v>XGO035</v>
      </c>
      <c r="F35" s="45" t="str">
        <f t="array" ref="F35">IFERROR(VLOOKUP(E35,Avaluacio[],COLUMN(Avaluacio[Ítem]),FALSE),"")</f>
        <v>Delegat/da de Protecció de Dades</v>
      </c>
      <c r="G35" t="str">
        <f t="array" ref="G35">IFERROR(VLOOKUP(E35,Avaluacio[],COLUMN(Avaluacio[Família]),FALSE),"")</f>
        <v>Informació institucional i organitzativa</v>
      </c>
      <c r="H35" t="str">
        <f t="array" ref="H35">IFERROR(VLOOKUP(E35,Avaluacio[],COLUMN(Avaluacio[Subfamília]),FALSE),"")</f>
        <v>Protecció de dades personals</v>
      </c>
      <c r="I35" s="6" t="str">
        <f t="array" ref="I35">IFERROR(VLOOKUP(E35,Avaluacio[],COLUMN(Avaluacio[Contingut]),FALSE),"")</f>
        <v>Sí</v>
      </c>
      <c r="J35" s="6" t="str">
        <f t="array" ref="J35">IFERROR(VLOOKUP(E35,Avaluacio[],COLUMN(Avaluacio[Actualització]),FALSE),"")</f>
        <v>Sí</v>
      </c>
      <c r="K35" s="6" t="str">
        <f t="array" ref="K35">IFERROR(VLOOKUP(E35,Avaluacio[],COLUMN(#REF!),FALSE),"")</f>
        <v/>
      </c>
      <c r="L35" t="str">
        <f t="array" ref="L35">IFERROR(VLOOKUP(E35,Avaluacio[],COLUMN(Avaluacio[Grau de compliment]),FALSE),"")</f>
        <v>Compleix totalment</v>
      </c>
      <c r="M35" s="8">
        <f t="array" ref="M35">IFERROR(VLOOKUP(E35,Avaluacio[],COLUMN(Avaluacio[% compliment]),FALSE),"")</f>
        <v>1</v>
      </c>
    </row>
    <row r="36" spans="1:13" ht="45" x14ac:dyDescent="0.2">
      <c r="A36" t="str">
        <f t="array" ref="A36">IFERROR(IF(VLOOKUP($E36,Avaluacio[],COLUMN(Avaluacio[Codi ítem]),FALSE)=$E36,'1_Plantejament'!$B$5,""),"")</f>
        <v xml:space="preserve">Ajuntament de la Tallada d'Empordà </v>
      </c>
      <c r="B36">
        <f t="array" ref="B36">IFERROR(IF(VLOOKUP($E36,Avaluacio[],COLUMN(Avaluacio[Codi ítem]),FALSE)=$E36,'1_Plantejament'!$B$9,""),"")</f>
        <v>2026</v>
      </c>
      <c r="C36">
        <f t="array" ref="C36">IFERROR(IF(VLOOKUP($E36,Avaluacio[],COLUMN(Avaluacio[Codi ítem]),FALSE)=$E36,'1_Plantejament'!$B$10,""),"")</f>
        <v>46205</v>
      </c>
      <c r="D36" s="6" t="str">
        <f t="array" ref="D36">IFERROR(IF(VLOOKUP($E36,Avaluacio[],COLUMN(Avaluacio[Codi ítem]),FALSE)=$E36,'1_Plantejament'!$B$7,""),"")</f>
        <v>Fase 5</v>
      </c>
      <c r="E36" s="6" t="str">
        <f t="array" ref="E36">IFERROR(INDEX(Avaluacio[Codi ítem],(MATCH(0,INDEX(COUNTIF(E$1:E35,Avaluacio[Codi ítem]),0,0)+INDEX(Avaluacio[Avaluable]="No",0,0),0))),"")</f>
        <v>XGO036</v>
      </c>
      <c r="F36" s="45" t="str">
        <f t="array" ref="F36">IFERROR(VLOOKUP(E36,Avaluacio[],COLUMN(Avaluacio[Ítem]),FALSE),"")</f>
        <v>Exercici dels drets relatius a la protecció de dades personals</v>
      </c>
      <c r="G36" t="str">
        <f t="array" ref="G36">IFERROR(VLOOKUP(E36,Avaluacio[],COLUMN(Avaluacio[Família]),FALSE),"")</f>
        <v>Informació institucional i organitzativa</v>
      </c>
      <c r="H36" t="str">
        <f t="array" ref="H36">IFERROR(VLOOKUP(E36,Avaluacio[],COLUMN(Avaluacio[Subfamília]),FALSE),"")</f>
        <v>Protecció de dades personals</v>
      </c>
      <c r="I36" s="6" t="str">
        <f t="array" ref="I36">IFERROR(VLOOKUP(E36,Avaluacio[],COLUMN(Avaluacio[Contingut]),FALSE),"")</f>
        <v>Sí</v>
      </c>
      <c r="J36" s="6" t="str">
        <f t="array" ref="J36">IFERROR(VLOOKUP(E36,Avaluacio[],COLUMN(Avaluacio[Actualització]),FALSE),"")</f>
        <v>Sí</v>
      </c>
      <c r="K36" s="6" t="str">
        <f t="array" ref="K36">IFERROR(VLOOKUP(E36,Avaluacio[],COLUMN(#REF!),FALSE),"")</f>
        <v/>
      </c>
      <c r="L36" t="str">
        <f t="array" ref="L36">IFERROR(VLOOKUP(E36,Avaluacio[],COLUMN(Avaluacio[Grau de compliment]),FALSE),"")</f>
        <v>Compleix totalment</v>
      </c>
      <c r="M36" s="8">
        <f t="array" ref="M36">IFERROR(VLOOKUP(E36,Avaluacio[],COLUMN(Avaluacio[% compliment]),FALSE),"")</f>
        <v>1</v>
      </c>
    </row>
    <row r="37" spans="1:13" ht="45" x14ac:dyDescent="0.2">
      <c r="A37" t="str">
        <f t="array" ref="A37">IFERROR(IF(VLOOKUP($E37,Avaluacio[],COLUMN(Avaluacio[Codi ítem]),FALSE)=$E37,'1_Plantejament'!$B$5,""),"")</f>
        <v xml:space="preserve">Ajuntament de la Tallada d'Empordà </v>
      </c>
      <c r="B37">
        <f t="array" ref="B37">IFERROR(IF(VLOOKUP($E37,Avaluacio[],COLUMN(Avaluacio[Codi ítem]),FALSE)=$E37,'1_Plantejament'!$B$9,""),"")</f>
        <v>2026</v>
      </c>
      <c r="C37">
        <f t="array" ref="C37">IFERROR(IF(VLOOKUP($E37,Avaluacio[],COLUMN(Avaluacio[Codi ítem]),FALSE)=$E37,'1_Plantejament'!$B$10,""),"")</f>
        <v>46205</v>
      </c>
      <c r="D37" s="6" t="str">
        <f t="array" ref="D37">IFERROR(IF(VLOOKUP($E37,Avaluacio[],COLUMN(Avaluacio[Codi ítem]),FALSE)=$E37,'1_Plantejament'!$B$7,""),"")</f>
        <v>Fase 5</v>
      </c>
      <c r="E37" s="6" t="str">
        <f t="array" ref="E37">IFERROR(INDEX(Avaluacio[Codi ítem],(MATCH(0,INDEX(COUNTIF(E$1:E36,Avaluacio[Codi ítem]),0,0)+INDEX(Avaluacio[Avaluable]="No",0,0),0))),"")</f>
        <v>XGO037</v>
      </c>
      <c r="F37" s="45" t="str">
        <f t="array" ref="F37">IFERROR(VLOOKUP(E37,Avaluacio[],COLUMN(Avaluacio[Ítem]),FALSE),"")</f>
        <v>Registre de les activitats de tractament de dades personals</v>
      </c>
      <c r="G37" t="str">
        <f t="array" ref="G37">IFERROR(VLOOKUP(E37,Avaluacio[],COLUMN(Avaluacio[Família]),FALSE),"")</f>
        <v>Informació institucional i organitzativa</v>
      </c>
      <c r="H37" t="str">
        <f t="array" ref="H37">IFERROR(VLOOKUP(E37,Avaluacio[],COLUMN(Avaluacio[Subfamília]),FALSE),"")</f>
        <v>Protecció de dades personals</v>
      </c>
      <c r="I37" s="6" t="str">
        <f t="array" ref="I37">IFERROR(VLOOKUP(E37,Avaluacio[],COLUMN(Avaluacio[Contingut]),FALSE),"")</f>
        <v>Sí</v>
      </c>
      <c r="J37" s="6" t="str">
        <f t="array" ref="J37">IFERROR(VLOOKUP(E37,Avaluacio[],COLUMN(Avaluacio[Actualització]),FALSE),"")</f>
        <v>Sí</v>
      </c>
      <c r="K37" s="6" t="str">
        <f t="array" ref="K37">IFERROR(VLOOKUP(E37,Avaluacio[],COLUMN(#REF!),FALSE),"")</f>
        <v/>
      </c>
      <c r="L37" t="str">
        <f t="array" ref="L37">IFERROR(VLOOKUP(E37,Avaluacio[],COLUMN(Avaluacio[Grau de compliment]),FALSE),"")</f>
        <v>Compleix totalment</v>
      </c>
      <c r="M37" s="8">
        <f t="array" ref="M37">IFERROR(VLOOKUP(E37,Avaluacio[],COLUMN(Avaluacio[% compliment]),FALSE),"")</f>
        <v>1</v>
      </c>
    </row>
    <row r="38" spans="1:13" ht="30" x14ac:dyDescent="0.2">
      <c r="A38" t="str">
        <f t="array" ref="A38">IFERROR(IF(VLOOKUP($E38,Avaluacio[],COLUMN(Avaluacio[Codi ítem]),FALSE)=$E38,'1_Plantejament'!$B$5,""),"")</f>
        <v xml:space="preserve">Ajuntament de la Tallada d'Empordà </v>
      </c>
      <c r="B38">
        <f t="array" ref="B38">IFERROR(IF(VLOOKUP($E38,Avaluacio[],COLUMN(Avaluacio[Codi ítem]),FALSE)=$E38,'1_Plantejament'!$B$9,""),"")</f>
        <v>2026</v>
      </c>
      <c r="C38">
        <f t="array" ref="C38">IFERROR(IF(VLOOKUP($E38,Avaluacio[],COLUMN(Avaluacio[Codi ítem]),FALSE)=$E38,'1_Plantejament'!$B$10,""),"")</f>
        <v>46205</v>
      </c>
      <c r="D38" s="6" t="str">
        <f t="array" ref="D38">IFERROR(IF(VLOOKUP($E38,Avaluacio[],COLUMN(Avaluacio[Codi ítem]),FALSE)=$E38,'1_Plantejament'!$B$7,""),"")</f>
        <v>Fase 5</v>
      </c>
      <c r="E38" s="6" t="str">
        <f t="array" ref="E38">IFERROR(INDEX(Avaluacio[Codi ítem],(MATCH(0,INDEX(COUNTIF(E$1:E37,Avaluacio[Codi ítem]),0,0)+INDEX(Avaluacio[Avaluable]="No",0,0),0))),"")</f>
        <v>XGO038</v>
      </c>
      <c r="F38" s="45" t="str">
        <f t="array" ref="F38">IFERROR(VLOOKUP(E38,Avaluacio[],COLUMN(Avaluacio[Ítem]),FALSE),"")</f>
        <v>Sistema d'Integritat Institucional</v>
      </c>
      <c r="G38" t="str">
        <f t="array" ref="G38">IFERROR(VLOOKUP(E38,Avaluacio[],COLUMN(Avaluacio[Família]),FALSE),"")</f>
        <v>Informació institucional i organitzativa</v>
      </c>
      <c r="H38" t="str">
        <f t="array" ref="H38">IFERROR(VLOOKUP(E38,Avaluacio[],COLUMN(Avaluacio[Subfamília]),FALSE),"")</f>
        <v>Bon Govern i Integritat Pública</v>
      </c>
      <c r="I38" s="6" t="str">
        <f t="array" ref="I38">IFERROR(VLOOKUP(E38,Avaluacio[],COLUMN(Avaluacio[Contingut]),FALSE),"")</f>
        <v>Sí</v>
      </c>
      <c r="J38" s="6" t="str">
        <f t="array" ref="J38">IFERROR(VLOOKUP(E38,Avaluacio[],COLUMN(Avaluacio[Actualització]),FALSE),"")</f>
        <v>Sí</v>
      </c>
      <c r="K38" s="6" t="str">
        <f t="array" ref="K38">IFERROR(VLOOKUP(E38,Avaluacio[],COLUMN(#REF!),FALSE),"")</f>
        <v/>
      </c>
      <c r="L38" t="str">
        <f t="array" ref="L38">IFERROR(VLOOKUP(E38,Avaluacio[],COLUMN(Avaluacio[Grau de compliment]),FALSE),"")</f>
        <v>Compleix totalment</v>
      </c>
      <c r="M38" s="8">
        <f t="array" ref="M38">IFERROR(VLOOKUP(E38,Avaluacio[],COLUMN(Avaluacio[% compliment]),FALSE),"")</f>
        <v>1</v>
      </c>
    </row>
    <row r="39" spans="1:13" ht="28.5" x14ac:dyDescent="0.2">
      <c r="A39" t="str">
        <f t="array" ref="A39">IFERROR(IF(VLOOKUP($E39,Avaluacio[],COLUMN(Avaluacio[Codi ítem]),FALSE)=$E39,'1_Plantejament'!$B$5,""),"")</f>
        <v xml:space="preserve">Ajuntament de la Tallada d'Empordà </v>
      </c>
      <c r="B39">
        <f t="array" ref="B39">IFERROR(IF(VLOOKUP($E39,Avaluacio[],COLUMN(Avaluacio[Codi ítem]),FALSE)=$E39,'1_Plantejament'!$B$9,""),"")</f>
        <v>2026</v>
      </c>
      <c r="C39">
        <f t="array" ref="C39">IFERROR(IF(VLOOKUP($E39,Avaluacio[],COLUMN(Avaluacio[Codi ítem]),FALSE)=$E39,'1_Plantejament'!$B$10,""),"")</f>
        <v>46205</v>
      </c>
      <c r="D39" s="6" t="str">
        <f t="array" ref="D39">IFERROR(IF(VLOOKUP($E39,Avaluacio[],COLUMN(Avaluacio[Codi ítem]),FALSE)=$E39,'1_Plantejament'!$B$7,""),"")</f>
        <v>Fase 5</v>
      </c>
      <c r="E39" s="6" t="str">
        <f t="array" ref="E39">IFERROR(INDEX(Avaluacio[Codi ítem],(MATCH(0,INDEX(COUNTIF(E$1:E38,Avaluacio[Codi ítem]),0,0)+INDEX(Avaluacio[Avaluable]="No",0,0),0))),"")</f>
        <v>XGO039</v>
      </c>
      <c r="F39" s="45" t="str">
        <f t="array" ref="F39">IFERROR(VLOOKUP(E39,Avaluacio[],COLUMN(Avaluacio[Ítem]),FALSE),"")</f>
        <v>Pla de mesures antifrau</v>
      </c>
      <c r="G39" t="str">
        <f t="array" ref="G39">IFERROR(VLOOKUP(E39,Avaluacio[],COLUMN(Avaluacio[Família]),FALSE),"")</f>
        <v>Informació institucional i organitzativa</v>
      </c>
      <c r="H39" t="str">
        <f t="array" ref="H39">IFERROR(VLOOKUP(E39,Avaluacio[],COLUMN(Avaluacio[Subfamília]),FALSE),"")</f>
        <v>Bon Govern i Integritat Pública</v>
      </c>
      <c r="I39" s="6" t="str">
        <f t="array" ref="I39">IFERROR(VLOOKUP(E39,Avaluacio[],COLUMN(Avaluacio[Contingut]),FALSE),"")</f>
        <v>Sí</v>
      </c>
      <c r="J39" s="6" t="str">
        <f t="array" ref="J39">IFERROR(VLOOKUP(E39,Avaluacio[],COLUMN(Avaluacio[Actualització]),FALSE),"")</f>
        <v>Sí</v>
      </c>
      <c r="K39" s="6" t="str">
        <f t="array" ref="K39">IFERROR(VLOOKUP(E39,Avaluacio[],COLUMN(#REF!),FALSE),"")</f>
        <v/>
      </c>
      <c r="L39" t="str">
        <f t="array" ref="L39">IFERROR(VLOOKUP(E39,Avaluacio[],COLUMN(Avaluacio[Grau de compliment]),FALSE),"")</f>
        <v>Compleix totalment</v>
      </c>
      <c r="M39" s="8">
        <f t="array" ref="M39">IFERROR(VLOOKUP(E39,Avaluacio[],COLUMN(Avaluacio[% compliment]),FALSE),"")</f>
        <v>1</v>
      </c>
    </row>
    <row r="40" spans="1:13" ht="60" x14ac:dyDescent="0.2">
      <c r="A40" t="str">
        <f t="array" ref="A40">IFERROR(IF(VLOOKUP($E40,Avaluacio[],COLUMN(Avaluacio[Codi ítem]),FALSE)=$E40,'1_Plantejament'!$B$5,""),"")</f>
        <v xml:space="preserve">Ajuntament de la Tallada d'Empordà </v>
      </c>
      <c r="B40">
        <f t="array" ref="B40">IFERROR(IF(VLOOKUP($E40,Avaluacio[],COLUMN(Avaluacio[Codi ítem]),FALSE)=$E40,'1_Plantejament'!$B$9,""),"")</f>
        <v>2026</v>
      </c>
      <c r="C40">
        <f t="array" ref="C40">IFERROR(IF(VLOOKUP($E40,Avaluacio[],COLUMN(Avaluacio[Codi ítem]),FALSE)=$E40,'1_Plantejament'!$B$10,""),"")</f>
        <v>46205</v>
      </c>
      <c r="D40" s="6" t="str">
        <f t="array" ref="D40">IFERROR(IF(VLOOKUP($E40,Avaluacio[],COLUMN(Avaluacio[Codi ítem]),FALSE)=$E40,'1_Plantejament'!$B$7,""),"")</f>
        <v>Fase 5</v>
      </c>
      <c r="E40" s="6" t="str">
        <f t="array" ref="E40">IFERROR(INDEX(Avaluacio[Codi ítem],(MATCH(0,INDEX(COUNTIF(E$1:E39,Avaluacio[Codi ítem]),0,0)+INDEX(Avaluacio[Avaluable]="No",0,0),0))),"")</f>
        <v>XGO040</v>
      </c>
      <c r="F40" s="45" t="str">
        <f t="array" ref="F40">IFERROR(VLOOKUP(E40,Avaluacio[],COLUMN(Avaluacio[Ítem]),FALSE),"")</f>
        <v>Declaració institucional d’impuls de la política d’integritat i de lluita contra el frau</v>
      </c>
      <c r="G40" t="str">
        <f t="array" ref="G40">IFERROR(VLOOKUP(E40,Avaluacio[],COLUMN(Avaluacio[Família]),FALSE),"")</f>
        <v>Informació institucional i organitzativa</v>
      </c>
      <c r="H40" t="str">
        <f t="array" ref="H40">IFERROR(VLOOKUP(E40,Avaluacio[],COLUMN(Avaluacio[Subfamília]),FALSE),"")</f>
        <v>Bon Govern i Integritat Pública</v>
      </c>
      <c r="I40" s="6" t="str">
        <f t="array" ref="I40">IFERROR(VLOOKUP(E40,Avaluacio[],COLUMN(Avaluacio[Contingut]),FALSE),"")</f>
        <v>Sí</v>
      </c>
      <c r="J40" s="6" t="str">
        <f t="array" ref="J40">IFERROR(VLOOKUP(E40,Avaluacio[],COLUMN(Avaluacio[Actualització]),FALSE),"")</f>
        <v>Sí</v>
      </c>
      <c r="K40" s="6" t="str">
        <f t="array" ref="K40">IFERROR(VLOOKUP(E40,Avaluacio[],COLUMN(#REF!),FALSE),"")</f>
        <v/>
      </c>
      <c r="L40" t="str">
        <f t="array" ref="L40">IFERROR(VLOOKUP(E40,Avaluacio[],COLUMN(Avaluacio[Grau de compliment]),FALSE),"")</f>
        <v>Compleix totalment</v>
      </c>
      <c r="M40" s="8">
        <f t="array" ref="M40">IFERROR(VLOOKUP(E40,Avaluacio[],COLUMN(Avaluacio[% compliment]),FALSE),"")</f>
        <v>1</v>
      </c>
    </row>
    <row r="41" spans="1:13" ht="30" x14ac:dyDescent="0.2">
      <c r="A41" t="str">
        <f t="array" ref="A41">IFERROR(IF(VLOOKUP($E41,Avaluacio[],COLUMN(Avaluacio[Codi ítem]),FALSE)=$E41,'1_Plantejament'!$B$5,""),"")</f>
        <v xml:space="preserve">Ajuntament de la Tallada d'Empordà </v>
      </c>
      <c r="B41">
        <f t="array" ref="B41">IFERROR(IF(VLOOKUP($E41,Avaluacio[],COLUMN(Avaluacio[Codi ítem]),FALSE)=$E41,'1_Plantejament'!$B$9,""),"")</f>
        <v>2026</v>
      </c>
      <c r="C41">
        <f t="array" ref="C41">IFERROR(IF(VLOOKUP($E41,Avaluacio[],COLUMN(Avaluacio[Codi ítem]),FALSE)=$E41,'1_Plantejament'!$B$10,""),"")</f>
        <v>46205</v>
      </c>
      <c r="D41" s="6" t="str">
        <f t="array" ref="D41">IFERROR(IF(VLOOKUP($E41,Avaluacio[],COLUMN(Avaluacio[Codi ítem]),FALSE)=$E41,'1_Plantejament'!$B$7,""),"")</f>
        <v>Fase 5</v>
      </c>
      <c r="E41" s="6" t="str">
        <f t="array" ref="E41">IFERROR(INDEX(Avaluacio[Codi ítem],(MATCH(0,INDEX(COUNTIF(E$1:E40,Avaluacio[Codi ítem]),0,0)+INDEX(Avaluacio[Avaluable]="No",0,0),0))),"")</f>
        <v>XGO041</v>
      </c>
      <c r="F41" s="45" t="str">
        <f t="array" ref="F41">IFERROR(VLOOKUP(E41,Avaluacio[],COLUMN(Avaluacio[Ítem]),FALSE),"")</f>
        <v>Canals d’alertes i sistema intern d’alertes (SIA)</v>
      </c>
      <c r="G41" t="str">
        <f t="array" ref="G41">IFERROR(VLOOKUP(E41,Avaluacio[],COLUMN(Avaluacio[Família]),FALSE),"")</f>
        <v>Informació institucional i organitzativa</v>
      </c>
      <c r="H41" t="str">
        <f t="array" ref="H41">IFERROR(VLOOKUP(E41,Avaluacio[],COLUMN(Avaluacio[Subfamília]),FALSE),"")</f>
        <v>Bon Govern i Integritat Pública</v>
      </c>
      <c r="I41" s="6" t="str">
        <f t="array" ref="I41">IFERROR(VLOOKUP(E41,Avaluacio[],COLUMN(Avaluacio[Contingut]),FALSE),"")</f>
        <v>Sí</v>
      </c>
      <c r="J41" s="6" t="str">
        <f t="array" ref="J41">IFERROR(VLOOKUP(E41,Avaluacio[],COLUMN(Avaluacio[Actualització]),FALSE),"")</f>
        <v>Sí</v>
      </c>
      <c r="K41" s="6" t="str">
        <f t="array" ref="K41">IFERROR(VLOOKUP(E41,Avaluacio[],COLUMN(#REF!),FALSE),"")</f>
        <v/>
      </c>
      <c r="L41" t="str">
        <f t="array" ref="L41">IFERROR(VLOOKUP(E41,Avaluacio[],COLUMN(Avaluacio[Grau de compliment]),FALSE),"")</f>
        <v>Compleix totalment</v>
      </c>
      <c r="M41" s="8">
        <f t="array" ref="M41">IFERROR(VLOOKUP(E41,Avaluacio[],COLUMN(Avaluacio[% compliment]),FALSE),"")</f>
        <v>1</v>
      </c>
    </row>
    <row r="42" spans="1:13" ht="28.5" x14ac:dyDescent="0.2">
      <c r="A42" t="str">
        <f t="array" ref="A42">IFERROR(IF(VLOOKUP($E42,Avaluacio[],COLUMN(Avaluacio[Codi ítem]),FALSE)=$E42,'1_Plantejament'!$B$5,""),"")</f>
        <v xml:space="preserve">Ajuntament de la Tallada d'Empordà </v>
      </c>
      <c r="B42">
        <f t="array" ref="B42">IFERROR(IF(VLOOKUP($E42,Avaluacio[],COLUMN(Avaluacio[Codi ítem]),FALSE)=$E42,'1_Plantejament'!$B$9,""),"")</f>
        <v>2026</v>
      </c>
      <c r="C42">
        <f t="array" ref="C42">IFERROR(IF(VLOOKUP($E42,Avaluacio[],COLUMN(Avaluacio[Codi ítem]),FALSE)=$E42,'1_Plantejament'!$B$10,""),"")</f>
        <v>46205</v>
      </c>
      <c r="D42" s="6" t="str">
        <f t="array" ref="D42">IFERROR(IF(VLOOKUP($E42,Avaluacio[],COLUMN(Avaluacio[Codi ítem]),FALSE)=$E42,'1_Plantejament'!$B$7,""),"")</f>
        <v>Fase 5</v>
      </c>
      <c r="E42" s="6" t="str">
        <f t="array" ref="E42">IFERROR(INDEX(Avaluacio[Codi ítem],(MATCH(0,INDEX(COUNTIF(E$1:E41,Avaluacio[Codi ítem]),0,0)+INDEX(Avaluacio[Avaluable]="No",0,0),0))),"")</f>
        <v>XGO042</v>
      </c>
      <c r="F42" s="45" t="str">
        <f t="array" ref="F42">IFERROR(VLOOKUP(E42,Avaluacio[],COLUMN(Avaluacio[Ítem]),FALSE),"")</f>
        <v>Registre de grups d'interès</v>
      </c>
      <c r="G42" t="str">
        <f t="array" ref="G42">IFERROR(VLOOKUP(E42,Avaluacio[],COLUMN(Avaluacio[Família]),FALSE),"")</f>
        <v>Informació institucional i organitzativa</v>
      </c>
      <c r="H42" t="str">
        <f t="array" ref="H42">IFERROR(VLOOKUP(E42,Avaluacio[],COLUMN(Avaluacio[Subfamília]),FALSE),"")</f>
        <v>Bon Govern i Integritat Pública</v>
      </c>
      <c r="I42" s="6" t="str">
        <f t="array" ref="I42">IFERROR(VLOOKUP(E42,Avaluacio[],COLUMN(Avaluacio[Contingut]),FALSE),"")</f>
        <v>Sí</v>
      </c>
      <c r="J42" s="6" t="str">
        <f t="array" ref="J42">IFERROR(VLOOKUP(E42,Avaluacio[],COLUMN(Avaluacio[Actualització]),FALSE),"")</f>
        <v>Sí</v>
      </c>
      <c r="K42" s="6" t="str">
        <f t="array" ref="K42">IFERROR(VLOOKUP(E42,Avaluacio[],COLUMN(#REF!),FALSE),"")</f>
        <v/>
      </c>
      <c r="L42" t="str">
        <f t="array" ref="L42">IFERROR(VLOOKUP(E42,Avaluacio[],COLUMN(Avaluacio[Grau de compliment]),FALSE),"")</f>
        <v>Compleix totalment</v>
      </c>
      <c r="M42" s="8">
        <f t="array" ref="M42">IFERROR(VLOOKUP(E42,Avaluacio[],COLUMN(Avaluacio[% compliment]),FALSE),"")</f>
        <v>1</v>
      </c>
    </row>
    <row r="43" spans="1:13" ht="30" x14ac:dyDescent="0.2">
      <c r="A43" t="str">
        <f t="array" ref="A43">IFERROR(IF(VLOOKUP($E43,Avaluacio[],COLUMN(Avaluacio[Codi ítem]),FALSE)=$E43,'1_Plantejament'!$B$5,""),"")</f>
        <v xml:space="preserve">Ajuntament de la Tallada d'Empordà </v>
      </c>
      <c r="B43">
        <f t="array" ref="B43">IFERROR(IF(VLOOKUP($E43,Avaluacio[],COLUMN(Avaluacio[Codi ítem]),FALSE)=$E43,'1_Plantejament'!$B$9,""),"")</f>
        <v>2026</v>
      </c>
      <c r="C43">
        <f t="array" ref="C43">IFERROR(IF(VLOOKUP($E43,Avaluacio[],COLUMN(Avaluacio[Codi ítem]),FALSE)=$E43,'1_Plantejament'!$B$10,""),"")</f>
        <v>46205</v>
      </c>
      <c r="D43" s="6" t="str">
        <f t="array" ref="D43">IFERROR(IF(VLOOKUP($E43,Avaluacio[],COLUMN(Avaluacio[Codi ítem]),FALSE)=$E43,'1_Plantejament'!$B$7,""),"")</f>
        <v>Fase 5</v>
      </c>
      <c r="E43" s="6" t="str">
        <f t="array" ref="E43">IFERROR(INDEX(Avaluacio[Codi ítem],(MATCH(0,INDEX(COUNTIF(E$1:E42,Avaluacio[Codi ítem]),0,0)+INDEX(Avaluacio[Avaluable]="No",0,0),0))),"")</f>
        <v>XGO043</v>
      </c>
      <c r="F43" s="45" t="str">
        <f t="array" ref="F43">IFERROR(VLOOKUP(E43,Avaluacio[],COLUMN(Avaluacio[Ítem]),FALSE),"")</f>
        <v>Codi de conducta dels grups d'interès</v>
      </c>
      <c r="G43" t="str">
        <f t="array" ref="G43">IFERROR(VLOOKUP(E43,Avaluacio[],COLUMN(Avaluacio[Família]),FALSE),"")</f>
        <v>Informació institucional i organitzativa</v>
      </c>
      <c r="H43" t="str">
        <f t="array" ref="H43">IFERROR(VLOOKUP(E43,Avaluacio[],COLUMN(Avaluacio[Subfamília]),FALSE),"")</f>
        <v>Bon Govern i Integritat Pública</v>
      </c>
      <c r="I43" s="6" t="str">
        <f t="array" ref="I43">IFERROR(VLOOKUP(E43,Avaluacio[],COLUMN(Avaluacio[Contingut]),FALSE),"")</f>
        <v>Sí</v>
      </c>
      <c r="J43" s="6" t="str">
        <f t="array" ref="J43">IFERROR(VLOOKUP(E43,Avaluacio[],COLUMN(Avaluacio[Actualització]),FALSE),"")</f>
        <v>Sí</v>
      </c>
      <c r="K43" s="6" t="str">
        <f t="array" ref="K43">IFERROR(VLOOKUP(E43,Avaluacio[],COLUMN(#REF!),FALSE),"")</f>
        <v/>
      </c>
      <c r="L43" t="str">
        <f t="array" ref="L43">IFERROR(VLOOKUP(E43,Avaluacio[],COLUMN(Avaluacio[Grau de compliment]),FALSE),"")</f>
        <v>Compleix totalment</v>
      </c>
      <c r="M43" s="8">
        <f t="array" ref="M43">IFERROR(VLOOKUP(E43,Avaluacio[],COLUMN(Avaluacio[% compliment]),FALSE),"")</f>
        <v>1</v>
      </c>
    </row>
    <row r="44" spans="1:13" ht="28.5" x14ac:dyDescent="0.2">
      <c r="A44" t="str">
        <f t="array" ref="A44">IFERROR(IF(VLOOKUP($E44,Avaluacio[],COLUMN(Avaluacio[Codi ítem]),FALSE)=$E44,'1_Plantejament'!$B$5,""),"")</f>
        <v xml:space="preserve">Ajuntament de la Tallada d'Empordà </v>
      </c>
      <c r="B44">
        <f t="array" ref="B44">IFERROR(IF(VLOOKUP($E44,Avaluacio[],COLUMN(Avaluacio[Codi ítem]),FALSE)=$E44,'1_Plantejament'!$B$9,""),"")</f>
        <v>2026</v>
      </c>
      <c r="C44">
        <f t="array" ref="C44">IFERROR(IF(VLOOKUP($E44,Avaluacio[],COLUMN(Avaluacio[Codi ítem]),FALSE)=$E44,'1_Plantejament'!$B$10,""),"")</f>
        <v>46205</v>
      </c>
      <c r="D44" s="6" t="str">
        <f t="array" ref="D44">IFERROR(IF(VLOOKUP($E44,Avaluacio[],COLUMN(Avaluacio[Codi ítem]),FALSE)=$E44,'1_Plantejament'!$B$7,""),"")</f>
        <v>Fase 5</v>
      </c>
      <c r="E44" s="6" t="str">
        <f t="array" ref="E44">IFERROR(INDEX(Avaluacio[Codi ítem],(MATCH(0,INDEX(COUNTIF(E$1:E43,Avaluacio[Codi ítem]),0,0)+INDEX(Avaluacio[Avaluable]="No",0,0),0))),"")</f>
        <v>XGO044</v>
      </c>
      <c r="F44" s="45" t="str">
        <f t="array" ref="F44">IFERROR(VLOOKUP(E44,Avaluacio[],COLUMN(Avaluacio[Ítem]),FALSE),"")</f>
        <v>Comissió antifrau</v>
      </c>
      <c r="G44" t="str">
        <f t="array" ref="G44">IFERROR(VLOOKUP(E44,Avaluacio[],COLUMN(Avaluacio[Família]),FALSE),"")</f>
        <v>Informació institucional i organitzativa</v>
      </c>
      <c r="H44" t="str">
        <f t="array" ref="H44">IFERROR(VLOOKUP(E44,Avaluacio[],COLUMN(Avaluacio[Subfamília]),FALSE),"")</f>
        <v>Bon Govern i Integritat Pública</v>
      </c>
      <c r="I44" s="6" t="str">
        <f t="array" ref="I44">IFERROR(VLOOKUP(E44,Avaluacio[],COLUMN(Avaluacio[Contingut]),FALSE),"")</f>
        <v>Sí</v>
      </c>
      <c r="J44" s="6" t="str">
        <f t="array" ref="J44">IFERROR(VLOOKUP(E44,Avaluacio[],COLUMN(Avaluacio[Actualització]),FALSE),"")</f>
        <v>Sí</v>
      </c>
      <c r="K44" s="6" t="str">
        <f t="array" ref="K44">IFERROR(VLOOKUP(E44,Avaluacio[],COLUMN(#REF!),FALSE),"")</f>
        <v/>
      </c>
      <c r="L44" t="str">
        <f t="array" ref="L44">IFERROR(VLOOKUP(E44,Avaluacio[],COLUMN(Avaluacio[Grau de compliment]),FALSE),"")</f>
        <v>Compleix totalment</v>
      </c>
      <c r="M44" s="8">
        <f t="array" ref="M44">IFERROR(VLOOKUP(E44,Avaluacio[],COLUMN(Avaluacio[% compliment]),FALSE),"")</f>
        <v>1</v>
      </c>
    </row>
    <row r="45" spans="1:13" ht="30" x14ac:dyDescent="0.2">
      <c r="A45" t="str">
        <f t="array" ref="A45">IFERROR(IF(VLOOKUP($E45,Avaluacio[],COLUMN(Avaluacio[Codi ítem]),FALSE)=$E45,'1_Plantejament'!$B$5,""),"")</f>
        <v xml:space="preserve">Ajuntament de la Tallada d'Empordà </v>
      </c>
      <c r="B45">
        <f t="array" ref="B45">IFERROR(IF(VLOOKUP($E45,Avaluacio[],COLUMN(Avaluacio[Codi ítem]),FALSE)=$E45,'1_Plantejament'!$B$9,""),"")</f>
        <v>2026</v>
      </c>
      <c r="C45">
        <f t="array" ref="C45">IFERROR(IF(VLOOKUP($E45,Avaluacio[],COLUMN(Avaluacio[Codi ítem]),FALSE)=$E45,'1_Plantejament'!$B$10,""),"")</f>
        <v>46205</v>
      </c>
      <c r="D45" s="6" t="str">
        <f t="array" ref="D45">IFERROR(IF(VLOOKUP($E45,Avaluacio[],COLUMN(Avaluacio[Codi ítem]),FALSE)=$E45,'1_Plantejament'!$B$7,""),"")</f>
        <v>Fase 5</v>
      </c>
      <c r="E45" s="6" t="str">
        <f t="array" ref="E45">IFERROR(INDEX(Avaluacio[Codi ítem],(MATCH(0,INDEX(COUNTIF(E$1:E44,Avaluacio[Codi ítem]),0,0)+INDEX(Avaluacio[Avaluable]="No",0,0),0))),"")</f>
        <v>XGO045</v>
      </c>
      <c r="F45" s="45" t="str">
        <f t="array" ref="F45">IFERROR(VLOOKUP(E45,Avaluacio[],COLUMN(Avaluacio[Ítem]),FALSE),"")</f>
        <v>Codi de conducta dels alts càrrecs i de bon govern</v>
      </c>
      <c r="G45" t="str">
        <f t="array" ref="G45">IFERROR(VLOOKUP(E45,Avaluacio[],COLUMN(Avaluacio[Família]),FALSE),"")</f>
        <v>Informació institucional i organitzativa</v>
      </c>
      <c r="H45" t="str">
        <f t="array" ref="H45">IFERROR(VLOOKUP(E45,Avaluacio[],COLUMN(Avaluacio[Subfamília]),FALSE),"")</f>
        <v>Bon Govern i Integritat Pública</v>
      </c>
      <c r="I45" s="6" t="str">
        <f t="array" ref="I45">IFERROR(VLOOKUP(E45,Avaluacio[],COLUMN(Avaluacio[Contingut]),FALSE),"")</f>
        <v>Sí</v>
      </c>
      <c r="J45" s="6" t="str">
        <f t="array" ref="J45">IFERROR(VLOOKUP(E45,Avaluacio[],COLUMN(Avaluacio[Actualització]),FALSE),"")</f>
        <v>Sí</v>
      </c>
      <c r="K45" s="6" t="str">
        <f t="array" ref="K45">IFERROR(VLOOKUP(E45,Avaluacio[],COLUMN(#REF!),FALSE),"")</f>
        <v/>
      </c>
      <c r="L45" t="str">
        <f t="array" ref="L45">IFERROR(VLOOKUP(E45,Avaluacio[],COLUMN(Avaluacio[Grau de compliment]),FALSE),"")</f>
        <v>Compleix totalment</v>
      </c>
      <c r="M45" s="8">
        <f t="array" ref="M45">IFERROR(VLOOKUP(E45,Avaluacio[],COLUMN(Avaluacio[% compliment]),FALSE),"")</f>
        <v>1</v>
      </c>
    </row>
    <row r="46" spans="1:13" ht="28.5" x14ac:dyDescent="0.2">
      <c r="A46" t="str">
        <f t="array" ref="A46">IFERROR(IF(VLOOKUP($E46,Avaluacio[],COLUMN(Avaluacio[Codi ítem]),FALSE)=$E46,'1_Plantejament'!$B$5,""),"")</f>
        <v xml:space="preserve">Ajuntament de la Tallada d'Empordà </v>
      </c>
      <c r="B46">
        <f t="array" ref="B46">IFERROR(IF(VLOOKUP($E46,Avaluacio[],COLUMN(Avaluacio[Codi ítem]),FALSE)=$E46,'1_Plantejament'!$B$9,""),"")</f>
        <v>2026</v>
      </c>
      <c r="C46">
        <f t="array" ref="C46">IFERROR(IF(VLOOKUP($E46,Avaluacio[],COLUMN(Avaluacio[Codi ítem]),FALSE)=$E46,'1_Plantejament'!$B$10,""),"")</f>
        <v>46205</v>
      </c>
      <c r="D46" s="6" t="str">
        <f t="array" ref="D46">IFERROR(IF(VLOOKUP($E46,Avaluacio[],COLUMN(Avaluacio[Codi ítem]),FALSE)=$E46,'1_Plantejament'!$B$7,""),"")</f>
        <v>Fase 5</v>
      </c>
      <c r="E46" s="6" t="str">
        <f t="array" ref="E46">IFERROR(INDEX(Avaluacio[Codi ítem],(MATCH(0,INDEX(COUNTIF(E$1:E45,Avaluacio[Codi ítem]),0,0)+INDEX(Avaluacio[Avaluable]="No",0,0),0))),"")</f>
        <v>XGO046</v>
      </c>
      <c r="F46" s="45" t="str">
        <f t="array" ref="F46">IFERROR(VLOOKUP(E46,Avaluacio[],COLUMN(Avaluacio[Ítem]),FALSE),"")</f>
        <v>Actes de ple</v>
      </c>
      <c r="G46" t="str">
        <f t="array" ref="G46">IFERROR(VLOOKUP(E46,Avaluacio[],COLUMN(Avaluacio[Família]),FALSE),"")</f>
        <v>Acció de govern i normativa</v>
      </c>
      <c r="H46" t="str">
        <f t="array" ref="H46">IFERROR(VLOOKUP(E46,Avaluacio[],COLUMN(Avaluacio[Subfamília]),FALSE),"")</f>
        <v>Acció de govern i grups polítics</v>
      </c>
      <c r="I46" s="6" t="str">
        <f t="array" ref="I46">IFERROR(VLOOKUP(E46,Avaluacio[],COLUMN(Avaluacio[Contingut]),FALSE),"")</f>
        <v>Sí</v>
      </c>
      <c r="J46" s="6" t="str">
        <f t="array" ref="J46">IFERROR(VLOOKUP(E46,Avaluacio[],COLUMN(Avaluacio[Actualització]),FALSE),"")</f>
        <v>Sí</v>
      </c>
      <c r="K46" s="6" t="str">
        <f t="array" ref="K46">IFERROR(VLOOKUP(E46,Avaluacio[],COLUMN(#REF!),FALSE),"")</f>
        <v/>
      </c>
      <c r="L46" t="str">
        <f t="array" ref="L46">IFERROR(VLOOKUP(E46,Avaluacio[],COLUMN(Avaluacio[Grau de compliment]),FALSE),"")</f>
        <v>Compleix totalment</v>
      </c>
      <c r="M46" s="8">
        <f t="array" ref="M46">IFERROR(VLOOKUP(E46,Avaluacio[],COLUMN(Avaluacio[% compliment]),FALSE),"")</f>
        <v>1</v>
      </c>
    </row>
    <row r="47" spans="1:13" ht="28.5" x14ac:dyDescent="0.2">
      <c r="A47" t="str">
        <f t="array" ref="A47">IFERROR(IF(VLOOKUP($E47,Avaluacio[],COLUMN(Avaluacio[Codi ítem]),FALSE)=$E47,'1_Plantejament'!$B$5,""),"")</f>
        <v xml:space="preserve">Ajuntament de la Tallada d'Empordà </v>
      </c>
      <c r="B47">
        <f t="array" ref="B47">IFERROR(IF(VLOOKUP($E47,Avaluacio[],COLUMN(Avaluacio[Codi ítem]),FALSE)=$E47,'1_Plantejament'!$B$9,""),"")</f>
        <v>2026</v>
      </c>
      <c r="C47">
        <f t="array" ref="C47">IFERROR(IF(VLOOKUP($E47,Avaluacio[],COLUMN(Avaluacio[Codi ítem]),FALSE)=$E47,'1_Plantejament'!$B$10,""),"")</f>
        <v>46205</v>
      </c>
      <c r="D47" s="6" t="str">
        <f t="array" ref="D47">IFERROR(IF(VLOOKUP($E47,Avaluacio[],COLUMN(Avaluacio[Codi ítem]),FALSE)=$E47,'1_Plantejament'!$B$7,""),"")</f>
        <v>Fase 5</v>
      </c>
      <c r="E47" s="6" t="str">
        <f t="array" ref="E47">IFERROR(INDEX(Avaluacio[Codi ítem],(MATCH(0,INDEX(COUNTIF(E$1:E46,Avaluacio[Codi ítem]),0,0)+INDEX(Avaluacio[Avaluable]="No",0,0),0))),"")</f>
        <v>XGO047</v>
      </c>
      <c r="F47" s="45" t="str">
        <f t="array" ref="F47">IFERROR(VLOOKUP(E47,Avaluacio[],COLUMN(Avaluacio[Ítem]),FALSE),"")</f>
        <v>Acords de junta de govern</v>
      </c>
      <c r="G47" t="str">
        <f t="array" ref="G47">IFERROR(VLOOKUP(E47,Avaluacio[],COLUMN(Avaluacio[Família]),FALSE),"")</f>
        <v>Acció de govern i normativa</v>
      </c>
      <c r="H47" t="str">
        <f t="array" ref="H47">IFERROR(VLOOKUP(E47,Avaluacio[],COLUMN(Avaluacio[Subfamília]),FALSE),"")</f>
        <v>Acció de govern i grups polítics</v>
      </c>
      <c r="I47" s="6" t="str">
        <f t="array" ref="I47">IFERROR(VLOOKUP(E47,Avaluacio[],COLUMN(Avaluacio[Contingut]),FALSE),"")</f>
        <v>No</v>
      </c>
      <c r="J47" s="6" t="str">
        <f t="array" ref="J47">IFERROR(VLOOKUP(E47,Avaluacio[],COLUMN(Avaluacio[Actualització]),FALSE),"")</f>
        <v>No</v>
      </c>
      <c r="K47" s="6" t="str">
        <f t="array" ref="K47">IFERROR(VLOOKUP(E47,Avaluacio[],COLUMN(#REF!),FALSE),"")</f>
        <v/>
      </c>
      <c r="L47" t="str">
        <f t="array" ref="L47">IFERROR(VLOOKUP(E47,Avaluacio[],COLUMN(Avaluacio[Grau de compliment]),FALSE),"")</f>
        <v>No compleix</v>
      </c>
      <c r="M47" s="8">
        <f t="array" ref="M47">IFERROR(VLOOKUP(E47,Avaluacio[],COLUMN(Avaluacio[% compliment]),FALSE),"")</f>
        <v>0</v>
      </c>
    </row>
    <row r="48" spans="1:13" ht="28.5" x14ac:dyDescent="0.2">
      <c r="A48" t="str">
        <f t="array" ref="A48">IFERROR(IF(VLOOKUP($E48,Avaluacio[],COLUMN(Avaluacio[Codi ítem]),FALSE)=$E48,'1_Plantejament'!$B$5,""),"")</f>
        <v xml:space="preserve">Ajuntament de la Tallada d'Empordà </v>
      </c>
      <c r="B48">
        <f t="array" ref="B48">IFERROR(IF(VLOOKUP($E48,Avaluacio[],COLUMN(Avaluacio[Codi ítem]),FALSE)=$E48,'1_Plantejament'!$B$9,""),"")</f>
        <v>2026</v>
      </c>
      <c r="C48">
        <f t="array" ref="C48">IFERROR(IF(VLOOKUP($E48,Avaluacio[],COLUMN(Avaluacio[Codi ítem]),FALSE)=$E48,'1_Plantejament'!$B$10,""),"")</f>
        <v>46205</v>
      </c>
      <c r="D48" s="6" t="str">
        <f t="array" ref="D48">IFERROR(IF(VLOOKUP($E48,Avaluacio[],COLUMN(Avaluacio[Codi ítem]),FALSE)=$E48,'1_Plantejament'!$B$7,""),"")</f>
        <v>Fase 5</v>
      </c>
      <c r="E48" s="6" t="str">
        <f t="array" ref="E48">IFERROR(INDEX(Avaluacio[Codi ítem],(MATCH(0,INDEX(COUNTIF(E$1:E47,Avaluacio[Codi ítem]),0,0)+INDEX(Avaluacio[Avaluable]="No",0,0),0))),"")</f>
        <v>XGO048</v>
      </c>
      <c r="F48" s="45" t="str">
        <f t="array" ref="F48">IFERROR(VLOOKUP(E48,Avaluacio[],COLUMN(Avaluacio[Ítem]),FALSE),"")</f>
        <v>Acords d'òrgans de govern</v>
      </c>
      <c r="G48" t="str">
        <f t="array" ref="G48">IFERROR(VLOOKUP(E48,Avaluacio[],COLUMN(Avaluacio[Família]),FALSE),"")</f>
        <v>Acció de govern i normativa</v>
      </c>
      <c r="H48" t="str">
        <f t="array" ref="H48">IFERROR(VLOOKUP(E48,Avaluacio[],COLUMN(Avaluacio[Subfamília]),FALSE),"")</f>
        <v>Acció de govern i grups polítics</v>
      </c>
      <c r="I48" s="6" t="str">
        <f t="array" ref="I48">IFERROR(VLOOKUP(E48,Avaluacio[],COLUMN(Avaluacio[Contingut]),FALSE),"")</f>
        <v>Sí</v>
      </c>
      <c r="J48" s="6" t="str">
        <f t="array" ref="J48">IFERROR(VLOOKUP(E48,Avaluacio[],COLUMN(Avaluacio[Actualització]),FALSE),"")</f>
        <v>Sí</v>
      </c>
      <c r="K48" s="6" t="str">
        <f t="array" ref="K48">IFERROR(VLOOKUP(E48,Avaluacio[],COLUMN(#REF!),FALSE),"")</f>
        <v/>
      </c>
      <c r="L48" t="str">
        <f t="array" ref="L48">IFERROR(VLOOKUP(E48,Avaluacio[],COLUMN(Avaluacio[Grau de compliment]),FALSE),"")</f>
        <v>Compleix totalment</v>
      </c>
      <c r="M48" s="8">
        <f t="array" ref="M48">IFERROR(VLOOKUP(E48,Avaluacio[],COLUMN(Avaluacio[% compliment]),FALSE),"")</f>
        <v>1</v>
      </c>
    </row>
    <row r="49" spans="1:13" ht="28.5" x14ac:dyDescent="0.2">
      <c r="A49" t="str">
        <f t="array" ref="A49">IFERROR(IF(VLOOKUP($E49,Avaluacio[],COLUMN(Avaluacio[Codi ítem]),FALSE)=$E49,'1_Plantejament'!$B$5,""),"")</f>
        <v xml:space="preserve">Ajuntament de la Tallada d'Empordà </v>
      </c>
      <c r="B49">
        <f t="array" ref="B49">IFERROR(IF(VLOOKUP($E49,Avaluacio[],COLUMN(Avaluacio[Codi ítem]),FALSE)=$E49,'1_Plantejament'!$B$9,""),"")</f>
        <v>2026</v>
      </c>
      <c r="C49">
        <f t="array" ref="C49">IFERROR(IF(VLOOKUP($E49,Avaluacio[],COLUMN(Avaluacio[Codi ítem]),FALSE)=$E49,'1_Plantejament'!$B$10,""),"")</f>
        <v>46205</v>
      </c>
      <c r="D49" s="6" t="str">
        <f t="array" ref="D49">IFERROR(IF(VLOOKUP($E49,Avaluacio[],COLUMN(Avaluacio[Codi ítem]),FALSE)=$E49,'1_Plantejament'!$B$7,""),"")</f>
        <v>Fase 5</v>
      </c>
      <c r="E49" s="6" t="str">
        <f t="array" ref="E49">IFERROR(INDEX(Avaluacio[Codi ítem],(MATCH(0,INDEX(COUNTIF(E$1:E48,Avaluacio[Codi ítem]),0,0)+INDEX(Avaluacio[Avaluable]="No",0,0),0))),"")</f>
        <v>XGO049</v>
      </c>
      <c r="F49" s="45" t="str">
        <f t="array" ref="F49">IFERROR(VLOOKUP(E49,Avaluacio[],COLUMN(Avaluacio[Ítem]),FALSE),"")</f>
        <v>Resolucions i decrets</v>
      </c>
      <c r="G49" t="str">
        <f t="array" ref="G49">IFERROR(VLOOKUP(E49,Avaluacio[],COLUMN(Avaluacio[Família]),FALSE),"")</f>
        <v>Acció de govern i normativa</v>
      </c>
      <c r="H49" t="str">
        <f t="array" ref="H49">IFERROR(VLOOKUP(E49,Avaluacio[],COLUMN(Avaluacio[Subfamília]),FALSE),"")</f>
        <v>Acció de govern i grups polítics</v>
      </c>
      <c r="I49" s="6" t="str">
        <f t="array" ref="I49">IFERROR(VLOOKUP(E49,Avaluacio[],COLUMN(Avaluacio[Contingut]),FALSE),"")</f>
        <v>Sí</v>
      </c>
      <c r="J49" s="6" t="str">
        <f t="array" ref="J49">IFERROR(VLOOKUP(E49,Avaluacio[],COLUMN(Avaluacio[Actualització]),FALSE),"")</f>
        <v>Sí</v>
      </c>
      <c r="K49" s="6" t="str">
        <f t="array" ref="K49">IFERROR(VLOOKUP(E49,Avaluacio[],COLUMN(#REF!),FALSE),"")</f>
        <v/>
      </c>
      <c r="L49" t="str">
        <f t="array" ref="L49">IFERROR(VLOOKUP(E49,Avaluacio[],COLUMN(Avaluacio[Grau de compliment]),FALSE),"")</f>
        <v>Compleix totalment</v>
      </c>
      <c r="M49" s="8">
        <f t="array" ref="M49">IFERROR(VLOOKUP(E49,Avaluacio[],COLUMN(Avaluacio[% compliment]),FALSE),"")</f>
        <v>1</v>
      </c>
    </row>
    <row r="50" spans="1:13" ht="28.5" x14ac:dyDescent="0.2">
      <c r="A50" t="str">
        <f t="array" ref="A50">IFERROR(IF(VLOOKUP($E50,Avaluacio[],COLUMN(Avaluacio[Codi ítem]),FALSE)=$E50,'1_Plantejament'!$B$5,""),"")</f>
        <v xml:space="preserve">Ajuntament de la Tallada d'Empordà </v>
      </c>
      <c r="B50">
        <f t="array" ref="B50">IFERROR(IF(VLOOKUP($E50,Avaluacio[],COLUMN(Avaluacio[Codi ítem]),FALSE)=$E50,'1_Plantejament'!$B$9,""),"")</f>
        <v>2026</v>
      </c>
      <c r="C50">
        <f t="array" ref="C50">IFERROR(IF(VLOOKUP($E50,Avaluacio[],COLUMN(Avaluacio[Codi ítem]),FALSE)=$E50,'1_Plantejament'!$B$10,""),"")</f>
        <v>46205</v>
      </c>
      <c r="D50" s="6" t="str">
        <f t="array" ref="D50">IFERROR(IF(VLOOKUP($E50,Avaluacio[],COLUMN(Avaluacio[Codi ítem]),FALSE)=$E50,'1_Plantejament'!$B$7,""),"")</f>
        <v>Fase 5</v>
      </c>
      <c r="E50" s="6" t="str">
        <f t="array" ref="E50">IFERROR(INDEX(Avaluacio[Codi ítem],(MATCH(0,INDEX(COUNTIF(E$1:E49,Avaluacio[Codi ítem]),0,0)+INDEX(Avaluacio[Avaluable]="No",0,0),0))),"")</f>
        <v>XGO050</v>
      </c>
      <c r="F50" s="45" t="str">
        <f t="array" ref="F50">IFERROR(VLOOKUP(E50,Avaluacio[],COLUMN(Avaluacio[Ítem]),FALSE),"")</f>
        <v>Tauler d'edictes i anuncis</v>
      </c>
      <c r="G50" t="str">
        <f t="array" ref="G50">IFERROR(VLOOKUP(E50,Avaluacio[],COLUMN(Avaluacio[Família]),FALSE),"")</f>
        <v>Acció de govern i normativa</v>
      </c>
      <c r="H50" t="str">
        <f t="array" ref="H50">IFERROR(VLOOKUP(E50,Avaluacio[],COLUMN(Avaluacio[Subfamília]),FALSE),"")</f>
        <v>Acció de govern i grups polítics</v>
      </c>
      <c r="I50" s="6" t="str">
        <f t="array" ref="I50">IFERROR(VLOOKUP(E50,Avaluacio[],COLUMN(Avaluacio[Contingut]),FALSE),"")</f>
        <v>Sí</v>
      </c>
      <c r="J50" s="6" t="str">
        <f t="array" ref="J50">IFERROR(VLOOKUP(E50,Avaluacio[],COLUMN(Avaluacio[Actualització]),FALSE),"")</f>
        <v>Sí</v>
      </c>
      <c r="K50" s="6" t="str">
        <f t="array" ref="K50">IFERROR(VLOOKUP(E50,Avaluacio[],COLUMN(#REF!),FALSE),"")</f>
        <v/>
      </c>
      <c r="L50" t="str">
        <f t="array" ref="L50">IFERROR(VLOOKUP(E50,Avaluacio[],COLUMN(Avaluacio[Grau de compliment]),FALSE),"")</f>
        <v>Compleix totalment</v>
      </c>
      <c r="M50" s="8">
        <f t="array" ref="M50">IFERROR(VLOOKUP(E50,Avaluacio[],COLUMN(Avaluacio[% compliment]),FALSE),"")</f>
        <v>1</v>
      </c>
    </row>
    <row r="51" spans="1:13" ht="30" x14ac:dyDescent="0.2">
      <c r="A51" t="str">
        <f t="array" ref="A51">IFERROR(IF(VLOOKUP($E51,Avaluacio[],COLUMN(Avaluacio[Codi ítem]),FALSE)=$E51,'1_Plantejament'!$B$5,""),"")</f>
        <v xml:space="preserve">Ajuntament de la Tallada d'Empordà </v>
      </c>
      <c r="B51">
        <f t="array" ref="B51">IFERROR(IF(VLOOKUP($E51,Avaluacio[],COLUMN(Avaluacio[Codi ítem]),FALSE)=$E51,'1_Plantejament'!$B$9,""),"")</f>
        <v>2026</v>
      </c>
      <c r="C51">
        <f t="array" ref="C51">IFERROR(IF(VLOOKUP($E51,Avaluacio[],COLUMN(Avaluacio[Codi ítem]),FALSE)=$E51,'1_Plantejament'!$B$10,""),"")</f>
        <v>46205</v>
      </c>
      <c r="D51" s="6" t="str">
        <f t="array" ref="D51">IFERROR(IF(VLOOKUP($E51,Avaluacio[],COLUMN(Avaluacio[Codi ítem]),FALSE)=$E51,'1_Plantejament'!$B$7,""),"")</f>
        <v>Fase 5</v>
      </c>
      <c r="E51" s="6" t="str">
        <f t="array" ref="E51">IFERROR(INDEX(Avaluacio[Codi ítem],(MATCH(0,INDEX(COUNTIF(E$1:E50,Avaluacio[Codi ítem]),0,0)+INDEX(Avaluacio[Avaluable]="No",0,0),0))),"")</f>
        <v>XGO051</v>
      </c>
      <c r="F51" s="45" t="str">
        <f t="array" ref="F51">IFERROR(VLOOKUP(E51,Avaluacio[],COLUMN(Avaluacio[Ítem]),FALSE),"")</f>
        <v>Convocatòries de sessions del ple</v>
      </c>
      <c r="G51" t="str">
        <f t="array" ref="G51">IFERROR(VLOOKUP(E51,Avaluacio[],COLUMN(Avaluacio[Família]),FALSE),"")</f>
        <v>Acció de govern i normativa</v>
      </c>
      <c r="H51" t="str">
        <f t="array" ref="H51">IFERROR(VLOOKUP(E51,Avaluacio[],COLUMN(Avaluacio[Subfamília]),FALSE),"")</f>
        <v>Acció de govern i grups polítics</v>
      </c>
      <c r="I51" s="6" t="str">
        <f t="array" ref="I51">IFERROR(VLOOKUP(E51,Avaluacio[],COLUMN(Avaluacio[Contingut]),FALSE),"")</f>
        <v>Sí</v>
      </c>
      <c r="J51" s="6" t="str">
        <f t="array" ref="J51">IFERROR(VLOOKUP(E51,Avaluacio[],COLUMN(Avaluacio[Actualització]),FALSE),"")</f>
        <v>Sí</v>
      </c>
      <c r="K51" s="6" t="str">
        <f t="array" ref="K51">IFERROR(VLOOKUP(E51,Avaluacio[],COLUMN(#REF!),FALSE),"")</f>
        <v/>
      </c>
      <c r="L51" t="str">
        <f t="array" ref="L51">IFERROR(VLOOKUP(E51,Avaluacio[],COLUMN(Avaluacio[Grau de compliment]),FALSE),"")</f>
        <v>Compleix totalment</v>
      </c>
      <c r="M51" s="8">
        <f t="array" ref="M51">IFERROR(VLOOKUP(E51,Avaluacio[],COLUMN(Avaluacio[% compliment]),FALSE),"")</f>
        <v>1</v>
      </c>
    </row>
    <row r="52" spans="1:13" ht="45" x14ac:dyDescent="0.2">
      <c r="A52" t="str">
        <f t="array" ref="A52">IFERROR(IF(VLOOKUP($E52,Avaluacio[],COLUMN(Avaluacio[Codi ítem]),FALSE)=$E52,'1_Plantejament'!$B$5,""),"")</f>
        <v xml:space="preserve">Ajuntament de la Tallada d'Empordà </v>
      </c>
      <c r="B52">
        <f t="array" ref="B52">IFERROR(IF(VLOOKUP($E52,Avaluacio[],COLUMN(Avaluacio[Codi ítem]),FALSE)=$E52,'1_Plantejament'!$B$9,""),"")</f>
        <v>2026</v>
      </c>
      <c r="C52">
        <f t="array" ref="C52">IFERROR(IF(VLOOKUP($E52,Avaluacio[],COLUMN(Avaluacio[Codi ítem]),FALSE)=$E52,'1_Plantejament'!$B$10,""),"")</f>
        <v>46205</v>
      </c>
      <c r="D52" s="6" t="str">
        <f t="array" ref="D52">IFERROR(IF(VLOOKUP($E52,Avaluacio[],COLUMN(Avaluacio[Codi ítem]),FALSE)=$E52,'1_Plantejament'!$B$7,""),"")</f>
        <v>Fase 5</v>
      </c>
      <c r="E52" s="6" t="str">
        <f t="array" ref="E52">IFERROR(INDEX(Avaluacio[Codi ítem],(MATCH(0,INDEX(COUNTIF(E$1:E51,Avaluacio[Codi ítem]),0,0)+INDEX(Avaluacio[Avaluable]="No",0,0),0))),"")</f>
        <v>XGO052</v>
      </c>
      <c r="F52" s="45" t="str">
        <f t="array" ref="F52">IFERROR(VLOOKUP(E52,Avaluacio[],COLUMN(Avaluacio[Ítem]),FALSE),"")</f>
        <v>Actes administratius amb incidència al domini públic i als serveis públics</v>
      </c>
      <c r="G52" t="str">
        <f t="array" ref="G52">IFERROR(VLOOKUP(E52,Avaluacio[],COLUMN(Avaluacio[Família]),FALSE),"")</f>
        <v>Acció de govern i normativa</v>
      </c>
      <c r="H52" t="str">
        <f t="array" ref="H52">IFERROR(VLOOKUP(E52,Avaluacio[],COLUMN(Avaluacio[Subfamília]),FALSE),"")</f>
        <v>Acció de govern i grups polítics</v>
      </c>
      <c r="I52" s="6" t="str">
        <f t="array" ref="I52">IFERROR(VLOOKUP(E52,Avaluacio[],COLUMN(Avaluacio[Contingut]),FALSE),"")</f>
        <v>Sí</v>
      </c>
      <c r="J52" s="6" t="str">
        <f t="array" ref="J52">IFERROR(VLOOKUP(E52,Avaluacio[],COLUMN(Avaluacio[Actualització]),FALSE),"")</f>
        <v>Sí</v>
      </c>
      <c r="K52" s="6" t="str">
        <f t="array" ref="K52">IFERROR(VLOOKUP(E52,Avaluacio[],COLUMN(#REF!),FALSE),"")</f>
        <v/>
      </c>
      <c r="L52" t="str">
        <f t="array" ref="L52">IFERROR(VLOOKUP(E52,Avaluacio[],COLUMN(Avaluacio[Grau de compliment]),FALSE),"")</f>
        <v>Compleix totalment</v>
      </c>
      <c r="M52" s="8">
        <f t="array" ref="M52">IFERROR(VLOOKUP(E52,Avaluacio[],COLUMN(Avaluacio[% compliment]),FALSE),"")</f>
        <v>1</v>
      </c>
    </row>
    <row r="53" spans="1:13" ht="30" x14ac:dyDescent="0.2">
      <c r="A53" t="str">
        <f t="array" ref="A53">IFERROR(IF(VLOOKUP($E53,Avaluacio[],COLUMN(Avaluacio[Codi ítem]),FALSE)=$E53,'1_Plantejament'!$B$5,""),"")</f>
        <v xml:space="preserve">Ajuntament de la Tallada d'Empordà </v>
      </c>
      <c r="B53">
        <f t="array" ref="B53">IFERROR(IF(VLOOKUP($E53,Avaluacio[],COLUMN(Avaluacio[Codi ítem]),FALSE)=$E53,'1_Plantejament'!$B$9,""),"")</f>
        <v>2026</v>
      </c>
      <c r="C53">
        <f t="array" ref="C53">IFERROR(IF(VLOOKUP($E53,Avaluacio[],COLUMN(Avaluacio[Codi ítem]),FALSE)=$E53,'1_Plantejament'!$B$10,""),"")</f>
        <v>46205</v>
      </c>
      <c r="D53" s="6" t="str">
        <f t="array" ref="D53">IFERROR(IF(VLOOKUP($E53,Avaluacio[],COLUMN(Avaluacio[Codi ítem]),FALSE)=$E53,'1_Plantejament'!$B$7,""),"")</f>
        <v>Fase 5</v>
      </c>
      <c r="E53" s="6" t="str">
        <f t="array" ref="E53">IFERROR(INDEX(Avaluacio[Codi ítem],(MATCH(0,INDEX(COUNTIF(E$1:E52,Avaluacio[Codi ítem]),0,0)+INDEX(Avaluacio[Avaluable]="No",0,0),0))),"")</f>
        <v>XGO053</v>
      </c>
      <c r="F53" s="45" t="str">
        <f t="array" ref="F53">IFERROR(VLOOKUP(E53,Avaluacio[],COLUMN(Avaluacio[Ítem]),FALSE),"")</f>
        <v>Actes objecte de revisió en via administrativa</v>
      </c>
      <c r="G53" t="str">
        <f t="array" ref="G53">IFERROR(VLOOKUP(E53,Avaluacio[],COLUMN(Avaluacio[Família]),FALSE),"")</f>
        <v>Acció de govern i normativa</v>
      </c>
      <c r="H53" t="str">
        <f t="array" ref="H53">IFERROR(VLOOKUP(E53,Avaluacio[],COLUMN(Avaluacio[Subfamília]),FALSE),"")</f>
        <v>Acció de govern i grups polítics</v>
      </c>
      <c r="I53" s="6" t="str">
        <f t="array" ref="I53">IFERROR(VLOOKUP(E53,Avaluacio[],COLUMN(Avaluacio[Contingut]),FALSE),"")</f>
        <v>Sí</v>
      </c>
      <c r="J53" s="6" t="str">
        <f t="array" ref="J53">IFERROR(VLOOKUP(E53,Avaluacio[],COLUMN(Avaluacio[Actualització]),FALSE),"")</f>
        <v>Sí</v>
      </c>
      <c r="K53" s="6" t="str">
        <f t="array" ref="K53">IFERROR(VLOOKUP(E53,Avaluacio[],COLUMN(#REF!),FALSE),"")</f>
        <v/>
      </c>
      <c r="L53" t="str">
        <f t="array" ref="L53">IFERROR(VLOOKUP(E53,Avaluacio[],COLUMN(Avaluacio[Grau de compliment]),FALSE),"")</f>
        <v>Compleix totalment</v>
      </c>
      <c r="M53" s="8">
        <f t="array" ref="M53">IFERROR(VLOOKUP(E53,Avaluacio[],COLUMN(Avaluacio[% compliment]),FALSE),"")</f>
        <v>1</v>
      </c>
    </row>
    <row r="54" spans="1:13" ht="30" x14ac:dyDescent="0.2">
      <c r="A54" t="str">
        <f t="array" ref="A54">IFERROR(IF(VLOOKUP($E54,Avaluacio[],COLUMN(Avaluacio[Codi ítem]),FALSE)=$E54,'1_Plantejament'!$B$5,""),"")</f>
        <v xml:space="preserve">Ajuntament de la Tallada d'Empordà </v>
      </c>
      <c r="B54">
        <f t="array" ref="B54">IFERROR(IF(VLOOKUP($E54,Avaluacio[],COLUMN(Avaluacio[Codi ítem]),FALSE)=$E54,'1_Plantejament'!$B$9,""),"")</f>
        <v>2026</v>
      </c>
      <c r="C54">
        <f t="array" ref="C54">IFERROR(IF(VLOOKUP($E54,Avaluacio[],COLUMN(Avaluacio[Codi ítem]),FALSE)=$E54,'1_Plantejament'!$B$10,""),"")</f>
        <v>46205</v>
      </c>
      <c r="D54" s="6" t="str">
        <f t="array" ref="D54">IFERROR(IF(VLOOKUP($E54,Avaluacio[],COLUMN(Avaluacio[Codi ítem]),FALSE)=$E54,'1_Plantejament'!$B$7,""),"")</f>
        <v>Fase 5</v>
      </c>
      <c r="E54" s="6" t="str">
        <f t="array" ref="E54">IFERROR(INDEX(Avaluacio[Codi ítem],(MATCH(0,INDEX(COUNTIF(E$1:E53,Avaluacio[Codi ítem]),0,0)+INDEX(Avaluacio[Avaluable]="No",0,0),0))),"")</f>
        <v>XGO054</v>
      </c>
      <c r="F54" s="45" t="str">
        <f t="array" ref="F54">IFERROR(VLOOKUP(E54,Avaluacio[],COLUMN(Avaluacio[Ítem]),FALSE),"")</f>
        <v>Resolucions administratives i judicials rellevants</v>
      </c>
      <c r="G54" t="str">
        <f t="array" ref="G54">IFERROR(VLOOKUP(E54,Avaluacio[],COLUMN(Avaluacio[Família]),FALSE),"")</f>
        <v>Acció de govern i normativa</v>
      </c>
      <c r="H54" t="str">
        <f t="array" ref="H54">IFERROR(VLOOKUP(E54,Avaluacio[],COLUMN(Avaluacio[Subfamília]),FALSE),"")</f>
        <v>Acció de govern i grups polítics</v>
      </c>
      <c r="I54" s="6" t="str">
        <f t="array" ref="I54">IFERROR(VLOOKUP(E54,Avaluacio[],COLUMN(Avaluacio[Contingut]),FALSE),"")</f>
        <v>Sí</v>
      </c>
      <c r="J54" s="6" t="str">
        <f t="array" ref="J54">IFERROR(VLOOKUP(E54,Avaluacio[],COLUMN(Avaluacio[Actualització]),FALSE),"")</f>
        <v>Sí</v>
      </c>
      <c r="K54" s="6" t="str">
        <f t="array" ref="K54">IFERROR(VLOOKUP(E54,Avaluacio[],COLUMN(#REF!),FALSE),"")</f>
        <v/>
      </c>
      <c r="L54" t="str">
        <f t="array" ref="L54">IFERROR(VLOOKUP(E54,Avaluacio[],COLUMN(Avaluacio[Grau de compliment]),FALSE),"")</f>
        <v>Compleix totalment</v>
      </c>
      <c r="M54" s="8">
        <f t="array" ref="M54">IFERROR(VLOOKUP(E54,Avaluacio[],COLUMN(Avaluacio[% compliment]),FALSE),"")</f>
        <v>1</v>
      </c>
    </row>
    <row r="55" spans="1:13" ht="45" x14ac:dyDescent="0.2">
      <c r="A55" t="str">
        <f t="array" ref="A55">IFERROR(IF(VLOOKUP($E55,Avaluacio[],COLUMN(Avaluacio[Codi ítem]),FALSE)=$E55,'1_Plantejament'!$B$5,""),"")</f>
        <v xml:space="preserve">Ajuntament de la Tallada d'Empordà </v>
      </c>
      <c r="B55">
        <f t="array" ref="B55">IFERROR(IF(VLOOKUP($E55,Avaluacio[],COLUMN(Avaluacio[Codi ítem]),FALSE)=$E55,'1_Plantejament'!$B$9,""),"")</f>
        <v>2026</v>
      </c>
      <c r="C55">
        <f t="array" ref="C55">IFERROR(IF(VLOOKUP($E55,Avaluacio[],COLUMN(Avaluacio[Codi ítem]),FALSE)=$E55,'1_Plantejament'!$B$10,""),"")</f>
        <v>46205</v>
      </c>
      <c r="D55" s="6" t="str">
        <f t="array" ref="D55">IFERROR(IF(VLOOKUP($E55,Avaluacio[],COLUMN(Avaluacio[Codi ítem]),FALSE)=$E55,'1_Plantejament'!$B$7,""),"")</f>
        <v>Fase 5</v>
      </c>
      <c r="E55" s="6" t="str">
        <f t="array" ref="E55">IFERROR(INDEX(Avaluacio[Codi ítem],(MATCH(0,INDEX(COUNTIF(E$1:E54,Avaluacio[Codi ítem]),0,0)+INDEX(Avaluacio[Avaluable]="No",0,0),0))),"")</f>
        <v>XGO055</v>
      </c>
      <c r="F55" s="45" t="str">
        <f t="array" ref="F55">IFERROR(VLOOKUP(E55,Avaluacio[],COLUMN(Avaluacio[Ítem]),FALSE),"")</f>
        <v>Dictàmens de la Comissió Jurídica Assessora i altres òrgans consultius</v>
      </c>
      <c r="G55" t="str">
        <f t="array" ref="G55">IFERROR(VLOOKUP(E55,Avaluacio[],COLUMN(Avaluacio[Família]),FALSE),"")</f>
        <v>Acció de govern i normativa</v>
      </c>
      <c r="H55" t="str">
        <f t="array" ref="H55">IFERROR(VLOOKUP(E55,Avaluacio[],COLUMN(Avaluacio[Subfamília]),FALSE),"")</f>
        <v>Acció de govern i grups polítics</v>
      </c>
      <c r="I55" s="6" t="str">
        <f t="array" ref="I55">IFERROR(VLOOKUP(E55,Avaluacio[],COLUMN(Avaluacio[Contingut]),FALSE),"")</f>
        <v>Sí</v>
      </c>
      <c r="J55" s="6" t="str">
        <f t="array" ref="J55">IFERROR(VLOOKUP(E55,Avaluacio[],COLUMN(Avaluacio[Actualització]),FALSE),"")</f>
        <v>Sí</v>
      </c>
      <c r="K55" s="6" t="str">
        <f t="array" ref="K55">IFERROR(VLOOKUP(E55,Avaluacio[],COLUMN(#REF!),FALSE),"")</f>
        <v/>
      </c>
      <c r="L55" t="str">
        <f t="array" ref="L55">IFERROR(VLOOKUP(E55,Avaluacio[],COLUMN(Avaluacio[Grau de compliment]),FALSE),"")</f>
        <v>Compleix totalment</v>
      </c>
      <c r="M55" s="8">
        <f t="array" ref="M55">IFERROR(VLOOKUP(E55,Avaluacio[],COLUMN(Avaluacio[% compliment]),FALSE),"")</f>
        <v>1</v>
      </c>
    </row>
    <row r="56" spans="1:13" ht="45" x14ac:dyDescent="0.2">
      <c r="A56" t="str">
        <f t="array" ref="A56">IFERROR(IF(VLOOKUP($E56,Avaluacio[],COLUMN(Avaluacio[Codi ítem]),FALSE)=$E56,'1_Plantejament'!$B$5,""),"")</f>
        <v xml:space="preserve">Ajuntament de la Tallada d'Empordà </v>
      </c>
      <c r="B56">
        <f t="array" ref="B56">IFERROR(IF(VLOOKUP($E56,Avaluacio[],COLUMN(Avaluacio[Codi ítem]),FALSE)=$E56,'1_Plantejament'!$B$9,""),"")</f>
        <v>2026</v>
      </c>
      <c r="C56">
        <f t="array" ref="C56">IFERROR(IF(VLOOKUP($E56,Avaluacio[],COLUMN(Avaluacio[Codi ítem]),FALSE)=$E56,'1_Plantejament'!$B$10,""),"")</f>
        <v>46205</v>
      </c>
      <c r="D56" s="6" t="str">
        <f t="array" ref="D56">IFERROR(IF(VLOOKUP($E56,Avaluacio[],COLUMN(Avaluacio[Codi ítem]),FALSE)=$E56,'1_Plantejament'!$B$7,""),"")</f>
        <v>Fase 5</v>
      </c>
      <c r="E56" s="6" t="str">
        <f t="array" ref="E56">IFERROR(INDEX(Avaluacio[Codi ítem],(MATCH(0,INDEX(COUNTIF(E$1:E55,Avaluacio[Codi ítem]),0,0)+INDEX(Avaluacio[Avaluable]="No",0,0),0))),"")</f>
        <v>XGO056</v>
      </c>
      <c r="F56" s="45" t="str">
        <f t="array" ref="F56">IFERROR(VLOOKUP(E56,Avaluacio[],COLUMN(Avaluacio[Ítem]),FALSE),"")</f>
        <v>Notícies i opinions sobre les actuacions de govern i de l'oposició</v>
      </c>
      <c r="G56" t="str">
        <f t="array" ref="G56">IFERROR(VLOOKUP(E56,Avaluacio[],COLUMN(Avaluacio[Família]),FALSE),"")</f>
        <v>Acció de govern i normativa</v>
      </c>
      <c r="H56" t="str">
        <f t="array" ref="H56">IFERROR(VLOOKUP(E56,Avaluacio[],COLUMN(Avaluacio[Subfamília]),FALSE),"")</f>
        <v>Acció de govern i grups polítics</v>
      </c>
      <c r="I56" s="6" t="str">
        <f t="array" ref="I56">IFERROR(VLOOKUP(E56,Avaluacio[],COLUMN(Avaluacio[Contingut]),FALSE),"")</f>
        <v>Sí</v>
      </c>
      <c r="J56" s="6" t="str">
        <f t="array" ref="J56">IFERROR(VLOOKUP(E56,Avaluacio[],COLUMN(Avaluacio[Actualització]),FALSE),"")</f>
        <v>Sí</v>
      </c>
      <c r="K56" s="6" t="str">
        <f t="array" ref="K56">IFERROR(VLOOKUP(E56,Avaluacio[],COLUMN(#REF!),FALSE),"")</f>
        <v/>
      </c>
      <c r="L56" t="str">
        <f t="array" ref="L56">IFERROR(VLOOKUP(E56,Avaluacio[],COLUMN(Avaluacio[Grau de compliment]),FALSE),"")</f>
        <v>Compleix totalment</v>
      </c>
      <c r="M56" s="8">
        <f t="array" ref="M56">IFERROR(VLOOKUP(E56,Avaluacio[],COLUMN(Avaluacio[% compliment]),FALSE),"")</f>
        <v>1</v>
      </c>
    </row>
    <row r="57" spans="1:13" ht="30" x14ac:dyDescent="0.2">
      <c r="A57" t="str">
        <f t="array" ref="A57">IFERROR(IF(VLOOKUP($E57,Avaluacio[],COLUMN(Avaluacio[Codi ítem]),FALSE)=$E57,'1_Plantejament'!$B$5,""),"")</f>
        <v xml:space="preserve">Ajuntament de la Tallada d'Empordà </v>
      </c>
      <c r="B57">
        <f t="array" ref="B57">IFERROR(IF(VLOOKUP($E57,Avaluacio[],COLUMN(Avaluacio[Codi ítem]),FALSE)=$E57,'1_Plantejament'!$B$9,""),"")</f>
        <v>2026</v>
      </c>
      <c r="C57">
        <f t="array" ref="C57">IFERROR(IF(VLOOKUP($E57,Avaluacio[],COLUMN(Avaluacio[Codi ítem]),FALSE)=$E57,'1_Plantejament'!$B$10,""),"")</f>
        <v>46205</v>
      </c>
      <c r="D57" s="6" t="str">
        <f t="array" ref="D57">IFERROR(IF(VLOOKUP($E57,Avaluacio[],COLUMN(Avaluacio[Codi ítem]),FALSE)=$E57,'1_Plantejament'!$B$7,""),"")</f>
        <v>Fase 5</v>
      </c>
      <c r="E57" s="6" t="str">
        <f t="array" ref="E57">IFERROR(INDEX(Avaluacio[Codi ítem],(MATCH(0,INDEX(COUNTIF(E$1:E56,Avaluacio[Codi ítem]),0,0)+INDEX(Avaluacio[Avaluable]="No",0,0),0))),"")</f>
        <v>XGO057</v>
      </c>
      <c r="F57" s="45" t="str">
        <f t="array" ref="F57">IFERROR(VLOOKUP(E57,Avaluacio[],COLUMN(Avaluacio[Ítem]),FALSE),"")</f>
        <v>Opinions i propostes dels grups municipals</v>
      </c>
      <c r="G57" t="str">
        <f t="array" ref="G57">IFERROR(VLOOKUP(E57,Avaluacio[],COLUMN(Avaluacio[Família]),FALSE),"")</f>
        <v>Acció de govern i normativa</v>
      </c>
      <c r="H57" t="str">
        <f t="array" ref="H57">IFERROR(VLOOKUP(E57,Avaluacio[],COLUMN(Avaluacio[Subfamília]),FALSE),"")</f>
        <v>Acció de govern i grups polítics</v>
      </c>
      <c r="I57" s="6" t="str">
        <f t="array" ref="I57">IFERROR(VLOOKUP(E57,Avaluacio[],COLUMN(Avaluacio[Contingut]),FALSE),"")</f>
        <v>Sí</v>
      </c>
      <c r="J57" s="6" t="str">
        <f t="array" ref="J57">IFERROR(VLOOKUP(E57,Avaluacio[],COLUMN(Avaluacio[Actualització]),FALSE),"")</f>
        <v>Sí</v>
      </c>
      <c r="K57" s="6" t="str">
        <f t="array" ref="K57">IFERROR(VLOOKUP(E57,Avaluacio[],COLUMN(#REF!),FALSE),"")</f>
        <v/>
      </c>
      <c r="L57" t="str">
        <f t="array" ref="L57">IFERROR(VLOOKUP(E57,Avaluacio[],COLUMN(Avaluacio[Grau de compliment]),FALSE),"")</f>
        <v>Compleix totalment</v>
      </c>
      <c r="M57" s="8">
        <f t="array" ref="M57">IFERROR(VLOOKUP(E57,Avaluacio[],COLUMN(Avaluacio[% compliment]),FALSE),"")</f>
        <v>1</v>
      </c>
    </row>
    <row r="58" spans="1:13" ht="45" x14ac:dyDescent="0.2">
      <c r="A58" t="str">
        <f t="array" ref="A58">IFERROR(IF(VLOOKUP($E58,Avaluacio[],COLUMN(Avaluacio[Codi ítem]),FALSE)=$E58,'1_Plantejament'!$B$5,""),"")</f>
        <v xml:space="preserve">Ajuntament de la Tallada d'Empordà </v>
      </c>
      <c r="B58">
        <f t="array" ref="B58">IFERROR(IF(VLOOKUP($E58,Avaluacio[],COLUMN(Avaluacio[Codi ítem]),FALSE)=$E58,'1_Plantejament'!$B$9,""),"")</f>
        <v>2026</v>
      </c>
      <c r="C58">
        <f t="array" ref="C58">IFERROR(IF(VLOOKUP($E58,Avaluacio[],COLUMN(Avaluacio[Codi ítem]),FALSE)=$E58,'1_Plantejament'!$B$10,""),"")</f>
        <v>46205</v>
      </c>
      <c r="D58" s="6" t="str">
        <f t="array" ref="D58">IFERROR(IF(VLOOKUP($E58,Avaluacio[],COLUMN(Avaluacio[Codi ítem]),FALSE)=$E58,'1_Plantejament'!$B$7,""),"")</f>
        <v>Fase 5</v>
      </c>
      <c r="E58" s="6" t="str">
        <f t="array" ref="E58">IFERROR(INDEX(Avaluacio[Codi ítem],(MATCH(0,INDEX(COUNTIF(E$1:E57,Avaluacio[Codi ítem]),0,0)+INDEX(Avaluacio[Avaluable]="No",0,0),0))),"")</f>
        <v>XGO058</v>
      </c>
      <c r="F58" s="45" t="str">
        <f t="array" ref="F58">IFERROR(VLOOKUP(E58,Avaluacio[],COLUMN(Avaluacio[Ítem]),FALSE),"")</f>
        <v>Resolucions de les sol·licituds d’accés a la informació pública</v>
      </c>
      <c r="G58" t="str">
        <f t="array" ref="G58">IFERROR(VLOOKUP(E58,Avaluacio[],COLUMN(Avaluacio[Família]),FALSE),"")</f>
        <v>Acció de govern i normativa</v>
      </c>
      <c r="H58" t="str">
        <f t="array" ref="H58">IFERROR(VLOOKUP(E58,Avaluacio[],COLUMN(Avaluacio[Subfamília]),FALSE),"")</f>
        <v>Acció de govern i grups polítics</v>
      </c>
      <c r="I58" s="6" t="str">
        <f t="array" ref="I58">IFERROR(VLOOKUP(E58,Avaluacio[],COLUMN(Avaluacio[Contingut]),FALSE),"")</f>
        <v>Sí</v>
      </c>
      <c r="J58" s="6" t="str">
        <f t="array" ref="J58">IFERROR(VLOOKUP(E58,Avaluacio[],COLUMN(Avaluacio[Actualització]),FALSE),"")</f>
        <v>Sí</v>
      </c>
      <c r="K58" s="6" t="str">
        <f t="array" ref="K58">IFERROR(VLOOKUP(E58,Avaluacio[],COLUMN(#REF!),FALSE),"")</f>
        <v/>
      </c>
      <c r="L58" t="str">
        <f t="array" ref="L58">IFERROR(VLOOKUP(E58,Avaluacio[],COLUMN(Avaluacio[Grau de compliment]),FALSE),"")</f>
        <v>Compleix totalment</v>
      </c>
      <c r="M58" s="8">
        <f t="array" ref="M58">IFERROR(VLOOKUP(E58,Avaluacio[],COLUMN(Avaluacio[% compliment]),FALSE),"")</f>
        <v>1</v>
      </c>
    </row>
    <row r="59" spans="1:13" ht="28.5" x14ac:dyDescent="0.2">
      <c r="A59" t="str">
        <f t="array" ref="A59">IFERROR(IF(VLOOKUP($E59,Avaluacio[],COLUMN(Avaluacio[Codi ítem]),FALSE)=$E59,'1_Plantejament'!$B$5,""),"")</f>
        <v xml:space="preserve">Ajuntament de la Tallada d'Empordà </v>
      </c>
      <c r="B59">
        <f t="array" ref="B59">IFERROR(IF(VLOOKUP($E59,Avaluacio[],COLUMN(Avaluacio[Codi ítem]),FALSE)=$E59,'1_Plantejament'!$B$9,""),"")</f>
        <v>2026</v>
      </c>
      <c r="C59">
        <f t="array" ref="C59">IFERROR(IF(VLOOKUP($E59,Avaluacio[],COLUMN(Avaluacio[Codi ítem]),FALSE)=$E59,'1_Plantejament'!$B$10,""),"")</f>
        <v>46205</v>
      </c>
      <c r="D59" s="6" t="str">
        <f t="array" ref="D59">IFERROR(IF(VLOOKUP($E59,Avaluacio[],COLUMN(Avaluacio[Codi ítem]),FALSE)=$E59,'1_Plantejament'!$B$7,""),"")</f>
        <v>Fase 5</v>
      </c>
      <c r="E59" s="6" t="str">
        <f t="array" ref="E59">IFERROR(INDEX(Avaluacio[Codi ítem],(MATCH(0,INDEX(COUNTIF(E$1:E58,Avaluacio[Codi ítem]),0,0)+INDEX(Avaluacio[Avaluable]="No",0,0),0))),"")</f>
        <v>XGO059</v>
      </c>
      <c r="F59" s="45" t="str">
        <f t="array" ref="F59">IFERROR(VLOOKUP(E59,Avaluacio[],COLUMN(Avaluacio[Ítem]),FALSE),"")</f>
        <v>Estatuts</v>
      </c>
      <c r="G59" t="str">
        <f t="array" ref="G59">IFERROR(VLOOKUP(E59,Avaluacio[],COLUMN(Avaluacio[Família]),FALSE),"")</f>
        <v>Acció de govern i normativa</v>
      </c>
      <c r="H59" t="str">
        <f t="array" ref="H59">IFERROR(VLOOKUP(E59,Avaluacio[],COLUMN(Avaluacio[Subfamília]),FALSE),"")</f>
        <v>Normativa, plans i programes</v>
      </c>
      <c r="I59" s="6" t="str">
        <f t="array" ref="I59">IFERROR(VLOOKUP(E59,Avaluacio[],COLUMN(Avaluacio[Contingut]),FALSE),"")</f>
        <v>Sí</v>
      </c>
      <c r="J59" s="6" t="str">
        <f t="array" ref="J59">IFERROR(VLOOKUP(E59,Avaluacio[],COLUMN(Avaluacio[Actualització]),FALSE),"")</f>
        <v>Sí</v>
      </c>
      <c r="K59" s="6" t="str">
        <f t="array" ref="K59">IFERROR(VLOOKUP(E59,Avaluacio[],COLUMN(#REF!),FALSE),"")</f>
        <v/>
      </c>
      <c r="L59" t="str">
        <f t="array" ref="L59">IFERROR(VLOOKUP(E59,Avaluacio[],COLUMN(Avaluacio[Grau de compliment]),FALSE),"")</f>
        <v>Compleix totalment</v>
      </c>
      <c r="M59" s="8">
        <f t="array" ref="M59">IFERROR(VLOOKUP(E59,Avaluacio[],COLUMN(Avaluacio[% compliment]),FALSE),"")</f>
        <v>1</v>
      </c>
    </row>
    <row r="60" spans="1:13" ht="30" x14ac:dyDescent="0.2">
      <c r="A60" t="str">
        <f t="array" ref="A60">IFERROR(IF(VLOOKUP($E60,Avaluacio[],COLUMN(Avaluacio[Codi ítem]),FALSE)=$E60,'1_Plantejament'!$B$5,""),"")</f>
        <v xml:space="preserve">Ajuntament de la Tallada d'Empordà </v>
      </c>
      <c r="B60">
        <f t="array" ref="B60">IFERROR(IF(VLOOKUP($E60,Avaluacio[],COLUMN(Avaluacio[Codi ítem]),FALSE)=$E60,'1_Plantejament'!$B$9,""),"")</f>
        <v>2026</v>
      </c>
      <c r="C60">
        <f t="array" ref="C60">IFERROR(IF(VLOOKUP($E60,Avaluacio[],COLUMN(Avaluacio[Codi ítem]),FALSE)=$E60,'1_Plantejament'!$B$10,""),"")</f>
        <v>46205</v>
      </c>
      <c r="D60" s="6" t="str">
        <f t="array" ref="D60">IFERROR(IF(VLOOKUP($E60,Avaluacio[],COLUMN(Avaluacio[Codi ítem]),FALSE)=$E60,'1_Plantejament'!$B$7,""),"")</f>
        <v>Fase 5</v>
      </c>
      <c r="E60" s="6" t="str">
        <f t="array" ref="E60">IFERROR(INDEX(Avaluacio[Codi ítem],(MATCH(0,INDEX(COUNTIF(E$1:E59,Avaluacio[Codi ítem]),0,0)+INDEX(Avaluacio[Avaluable]="No",0,0),0))),"")</f>
        <v>XGO060</v>
      </c>
      <c r="F60" s="45" t="str">
        <f t="array" ref="F60">IFERROR(VLOOKUP(E60,Avaluacio[],COLUMN(Avaluacio[Ítem]),FALSE),"")</f>
        <v>Ordenances reguladores i reglaments</v>
      </c>
      <c r="G60" t="str">
        <f t="array" ref="G60">IFERROR(VLOOKUP(E60,Avaluacio[],COLUMN(Avaluacio[Família]),FALSE),"")</f>
        <v>Acció de govern i normativa</v>
      </c>
      <c r="H60" t="str">
        <f t="array" ref="H60">IFERROR(VLOOKUP(E60,Avaluacio[],COLUMN(Avaluacio[Subfamília]),FALSE),"")</f>
        <v>Normativa, plans i programes</v>
      </c>
      <c r="I60" s="6" t="str">
        <f t="array" ref="I60">IFERROR(VLOOKUP(E60,Avaluacio[],COLUMN(Avaluacio[Contingut]),FALSE),"")</f>
        <v>Sí</v>
      </c>
      <c r="J60" s="6" t="str">
        <f t="array" ref="J60">IFERROR(VLOOKUP(E60,Avaluacio[],COLUMN(Avaluacio[Actualització]),FALSE),"")</f>
        <v>Sí</v>
      </c>
      <c r="K60" s="6" t="str">
        <f t="array" ref="K60">IFERROR(VLOOKUP(E60,Avaluacio[],COLUMN(#REF!),FALSE),"")</f>
        <v/>
      </c>
      <c r="L60" t="str">
        <f t="array" ref="L60">IFERROR(VLOOKUP(E60,Avaluacio[],COLUMN(Avaluacio[Grau de compliment]),FALSE),"")</f>
        <v>Compleix totalment</v>
      </c>
      <c r="M60" s="8">
        <f t="array" ref="M60">IFERROR(VLOOKUP(E60,Avaluacio[],COLUMN(Avaluacio[% compliment]),FALSE),"")</f>
        <v>1</v>
      </c>
    </row>
    <row r="61" spans="1:13" ht="28.5" x14ac:dyDescent="0.2">
      <c r="A61" t="str">
        <f t="array" ref="A61">IFERROR(IF(VLOOKUP($E61,Avaluacio[],COLUMN(Avaluacio[Codi ítem]),FALSE)=$E61,'1_Plantejament'!$B$5,""),"")</f>
        <v xml:space="preserve">Ajuntament de la Tallada d'Empordà </v>
      </c>
      <c r="B61">
        <f t="array" ref="B61">IFERROR(IF(VLOOKUP($E61,Avaluacio[],COLUMN(Avaluacio[Codi ítem]),FALSE)=$E61,'1_Plantejament'!$B$9,""),"")</f>
        <v>2026</v>
      </c>
      <c r="C61">
        <f t="array" ref="C61">IFERROR(IF(VLOOKUP($E61,Avaluacio[],COLUMN(Avaluacio[Codi ítem]),FALSE)=$E61,'1_Plantejament'!$B$10,""),"")</f>
        <v>46205</v>
      </c>
      <c r="D61" s="6" t="str">
        <f t="array" ref="D61">IFERROR(IF(VLOOKUP($E61,Avaluacio[],COLUMN(Avaluacio[Codi ítem]),FALSE)=$E61,'1_Plantejament'!$B$7,""),"")</f>
        <v>Fase 5</v>
      </c>
      <c r="E61" s="6" t="str">
        <f t="array" ref="E61">IFERROR(INDEX(Avaluacio[Codi ítem],(MATCH(0,INDEX(COUNTIF(E$1:E60,Avaluacio[Codi ítem]),0,0)+INDEX(Avaluacio[Avaluable]="No",0,0),0))),"")</f>
        <v>XGO061</v>
      </c>
      <c r="F61" s="45" t="str">
        <f t="array" ref="F61">IFERROR(VLOOKUP(E61,Avaluacio[],COLUMN(Avaluacio[Ítem]),FALSE),"")</f>
        <v>Ordenances fiscals</v>
      </c>
      <c r="G61" t="str">
        <f t="array" ref="G61">IFERROR(VLOOKUP(E61,Avaluacio[],COLUMN(Avaluacio[Família]),FALSE),"")</f>
        <v>Acció de govern i normativa</v>
      </c>
      <c r="H61" t="str">
        <f t="array" ref="H61">IFERROR(VLOOKUP(E61,Avaluacio[],COLUMN(Avaluacio[Subfamília]),FALSE),"")</f>
        <v>Normativa, plans i programes</v>
      </c>
      <c r="I61" s="6" t="str">
        <f t="array" ref="I61">IFERROR(VLOOKUP(E61,Avaluacio[],COLUMN(Avaluacio[Contingut]),FALSE),"")</f>
        <v>Sí</v>
      </c>
      <c r="J61" s="6" t="str">
        <f t="array" ref="J61">IFERROR(VLOOKUP(E61,Avaluacio[],COLUMN(Avaluacio[Actualització]),FALSE),"")</f>
        <v>Sí</v>
      </c>
      <c r="K61" s="6" t="str">
        <f t="array" ref="K61">IFERROR(VLOOKUP(E61,Avaluacio[],COLUMN(#REF!),FALSE),"")</f>
        <v/>
      </c>
      <c r="L61" t="str">
        <f t="array" ref="L61">IFERROR(VLOOKUP(E61,Avaluacio[],COLUMN(Avaluacio[Grau de compliment]),FALSE),"")</f>
        <v>Compleix totalment</v>
      </c>
      <c r="M61" s="8">
        <f t="array" ref="M61">IFERROR(VLOOKUP(E61,Avaluacio[],COLUMN(Avaluacio[% compliment]),FALSE),"")</f>
        <v>1</v>
      </c>
    </row>
    <row r="62" spans="1:13" ht="28.5" x14ac:dyDescent="0.2">
      <c r="A62" t="str">
        <f t="array" ref="A62">IFERROR(IF(VLOOKUP($E62,Avaluacio[],COLUMN(Avaluacio[Codi ítem]),FALSE)=$E62,'1_Plantejament'!$B$5,""),"")</f>
        <v xml:space="preserve">Ajuntament de la Tallada d'Empordà </v>
      </c>
      <c r="B62">
        <f t="array" ref="B62">IFERROR(IF(VLOOKUP($E62,Avaluacio[],COLUMN(Avaluacio[Codi ítem]),FALSE)=$E62,'1_Plantejament'!$B$9,""),"")</f>
        <v>2026</v>
      </c>
      <c r="C62">
        <f t="array" ref="C62">IFERROR(IF(VLOOKUP($E62,Avaluacio[],COLUMN(Avaluacio[Codi ítem]),FALSE)=$E62,'1_Plantejament'!$B$10,""),"")</f>
        <v>46205</v>
      </c>
      <c r="D62" s="6" t="str">
        <f t="array" ref="D62">IFERROR(IF(VLOOKUP($E62,Avaluacio[],COLUMN(Avaluacio[Codi ítem]),FALSE)=$E62,'1_Plantejament'!$B$7,""),"")</f>
        <v>Fase 5</v>
      </c>
      <c r="E62" s="6" t="str">
        <f t="array" ref="E62">IFERROR(INDEX(Avaluacio[Codi ítem],(MATCH(0,INDEX(COUNTIF(E$1:E61,Avaluacio[Codi ítem]),0,0)+INDEX(Avaluacio[Avaluable]="No",0,0),0))),"")</f>
        <v>XGO062</v>
      </c>
      <c r="F62" s="45" t="str">
        <f t="array" ref="F62">IFERROR(VLOOKUP(E62,Avaluacio[],COLUMN(Avaluacio[Ítem]),FALSE),"")</f>
        <v>Plecs de clàusules generals</v>
      </c>
      <c r="G62" t="str">
        <f t="array" ref="G62">IFERROR(VLOOKUP(E62,Avaluacio[],COLUMN(Avaluacio[Família]),FALSE),"")</f>
        <v>Acció de govern i normativa</v>
      </c>
      <c r="H62" t="str">
        <f t="array" ref="H62">IFERROR(VLOOKUP(E62,Avaluacio[],COLUMN(Avaluacio[Subfamília]),FALSE),"")</f>
        <v>Normativa, plans i programes</v>
      </c>
      <c r="I62" s="6" t="str">
        <f t="array" ref="I62">IFERROR(VLOOKUP(E62,Avaluacio[],COLUMN(Avaluacio[Contingut]),FALSE),"")</f>
        <v>No</v>
      </c>
      <c r="J62" s="6" t="str">
        <f t="array" ref="J62">IFERROR(VLOOKUP(E62,Avaluacio[],COLUMN(Avaluacio[Actualització]),FALSE),"")</f>
        <v>No</v>
      </c>
      <c r="K62" s="6" t="str">
        <f t="array" ref="K62">IFERROR(VLOOKUP(E62,Avaluacio[],COLUMN(#REF!),FALSE),"")</f>
        <v/>
      </c>
      <c r="L62" t="str">
        <f t="array" ref="L62">IFERROR(VLOOKUP(E62,Avaluacio[],COLUMN(Avaluacio[Grau de compliment]),FALSE),"")</f>
        <v>No compleix</v>
      </c>
      <c r="M62" s="8">
        <f t="array" ref="M62">IFERROR(VLOOKUP(E62,Avaluacio[],COLUMN(Avaluacio[% compliment]),FALSE),"")</f>
        <v>0</v>
      </c>
    </row>
    <row r="63" spans="1:13" ht="45" x14ac:dyDescent="0.2">
      <c r="A63" t="str">
        <f t="array" ref="A63">IFERROR(IF(VLOOKUP($E63,Avaluacio[],COLUMN(Avaluacio[Codi ítem]),FALSE)=$E63,'1_Plantejament'!$B$5,""),"")</f>
        <v xml:space="preserve">Ajuntament de la Tallada d'Empordà </v>
      </c>
      <c r="B63">
        <f t="array" ref="B63">IFERROR(IF(VLOOKUP($E63,Avaluacio[],COLUMN(Avaluacio[Codi ítem]),FALSE)=$E63,'1_Plantejament'!$B$9,""),"")</f>
        <v>2026</v>
      </c>
      <c r="C63">
        <f t="array" ref="C63">IFERROR(IF(VLOOKUP($E63,Avaluacio[],COLUMN(Avaluacio[Codi ítem]),FALSE)=$E63,'1_Plantejament'!$B$10,""),"")</f>
        <v>46205</v>
      </c>
      <c r="D63" s="6" t="str">
        <f t="array" ref="D63">IFERROR(IF(VLOOKUP($E63,Avaluacio[],COLUMN(Avaluacio[Codi ítem]),FALSE)=$E63,'1_Plantejament'!$B$7,""),"")</f>
        <v>Fase 5</v>
      </c>
      <c r="E63" s="6" t="str">
        <f t="array" ref="E63">IFERROR(INDEX(Avaluacio[Codi ítem],(MATCH(0,INDEX(COUNTIF(E$1:E62,Avaluacio[Codi ítem]),0,0)+INDEX(Avaluacio[Avaluable]="No",0,0),0))),"")</f>
        <v>XGO063</v>
      </c>
      <c r="F63" s="45" t="str">
        <f t="array" ref="F63">IFERROR(VLOOKUP(E63,Avaluacio[],COLUMN(Avaluacio[Ítem]),FALSE),"")</f>
        <v>Directives, instruccions, circulars i respostes a consultes sobre les normes</v>
      </c>
      <c r="G63" t="str">
        <f t="array" ref="G63">IFERROR(VLOOKUP(E63,Avaluacio[],COLUMN(Avaluacio[Família]),FALSE),"")</f>
        <v>Acció de govern i normativa</v>
      </c>
      <c r="H63" t="str">
        <f t="array" ref="H63">IFERROR(VLOOKUP(E63,Avaluacio[],COLUMN(Avaluacio[Subfamília]),FALSE),"")</f>
        <v>Normativa, plans i programes</v>
      </c>
      <c r="I63" s="6" t="str">
        <f t="array" ref="I63">IFERROR(VLOOKUP(E63,Avaluacio[],COLUMN(Avaluacio[Contingut]),FALSE),"")</f>
        <v>Sí</v>
      </c>
      <c r="J63" s="6" t="str">
        <f t="array" ref="J63">IFERROR(VLOOKUP(E63,Avaluacio[],COLUMN(Avaluacio[Actualització]),FALSE),"")</f>
        <v>Sí</v>
      </c>
      <c r="K63" s="6" t="str">
        <f t="array" ref="K63">IFERROR(VLOOKUP(E63,Avaluacio[],COLUMN(#REF!),FALSE),"")</f>
        <v/>
      </c>
      <c r="L63" t="str">
        <f t="array" ref="L63">IFERROR(VLOOKUP(E63,Avaluacio[],COLUMN(Avaluacio[Grau de compliment]),FALSE),"")</f>
        <v>Compleix totalment</v>
      </c>
      <c r="M63" s="8">
        <f t="array" ref="M63">IFERROR(VLOOKUP(E63,Avaluacio[],COLUMN(Avaluacio[% compliment]),FALSE),"")</f>
        <v>1</v>
      </c>
    </row>
    <row r="64" spans="1:13" ht="30" x14ac:dyDescent="0.2">
      <c r="A64" t="str">
        <f t="array" ref="A64">IFERROR(IF(VLOOKUP($E64,Avaluacio[],COLUMN(Avaluacio[Codi ítem]),FALSE)=$E64,'1_Plantejament'!$B$5,""),"")</f>
        <v xml:space="preserve">Ajuntament de la Tallada d'Empordà </v>
      </c>
      <c r="B64">
        <f t="array" ref="B64">IFERROR(IF(VLOOKUP($E64,Avaluacio[],COLUMN(Avaluacio[Codi ítem]),FALSE)=$E64,'1_Plantejament'!$B$9,""),"")</f>
        <v>2026</v>
      </c>
      <c r="C64">
        <f t="array" ref="C64">IFERROR(IF(VLOOKUP($E64,Avaluacio[],COLUMN(Avaluacio[Codi ítem]),FALSE)=$E64,'1_Plantejament'!$B$10,""),"")</f>
        <v>46205</v>
      </c>
      <c r="D64" s="6" t="str">
        <f t="array" ref="D64">IFERROR(IF(VLOOKUP($E64,Avaluacio[],COLUMN(Avaluacio[Codi ítem]),FALSE)=$E64,'1_Plantejament'!$B$7,""),"")</f>
        <v>Fase 5</v>
      </c>
      <c r="E64" s="6" t="str">
        <f t="array" ref="E64">IFERROR(INDEX(Avaluacio[Codi ítem],(MATCH(0,INDEX(COUNTIF(E$1:E63,Avaluacio[Codi ítem]),0,0)+INDEX(Avaluacio[Avaluable]="No",0,0),0))),"")</f>
        <v>XGO064</v>
      </c>
      <c r="F64" s="45" t="str">
        <f t="array" ref="F64">IFERROR(VLOOKUP(E64,Avaluacio[],COLUMN(Avaluacio[Ítem]),FALSE),"")</f>
        <v>Memòries i documents dels projectes normatius en curs</v>
      </c>
      <c r="G64" t="str">
        <f t="array" ref="G64">IFERROR(VLOOKUP(E64,Avaluacio[],COLUMN(Avaluacio[Família]),FALSE),"")</f>
        <v>Acció de govern i normativa</v>
      </c>
      <c r="H64" t="str">
        <f t="array" ref="H64">IFERROR(VLOOKUP(E64,Avaluacio[],COLUMN(Avaluacio[Subfamília]),FALSE),"")</f>
        <v>Normativa, plans i programes</v>
      </c>
      <c r="I64" s="6" t="str">
        <f t="array" ref="I64">IFERROR(VLOOKUP(E64,Avaluacio[],COLUMN(Avaluacio[Contingut]),FALSE),"")</f>
        <v>Sí</v>
      </c>
      <c r="J64" s="6" t="str">
        <f t="array" ref="J64">IFERROR(VLOOKUP(E64,Avaluacio[],COLUMN(Avaluacio[Actualització]),FALSE),"")</f>
        <v>Sí</v>
      </c>
      <c r="K64" s="6" t="str">
        <f t="array" ref="K64">IFERROR(VLOOKUP(E64,Avaluacio[],COLUMN(#REF!),FALSE),"")</f>
        <v/>
      </c>
      <c r="L64" t="str">
        <f t="array" ref="L64">IFERROR(VLOOKUP(E64,Avaluacio[],COLUMN(Avaluacio[Grau de compliment]),FALSE),"")</f>
        <v>Compleix totalment</v>
      </c>
      <c r="M64" s="8">
        <f t="array" ref="M64">IFERROR(VLOOKUP(E64,Avaluacio[],COLUMN(Avaluacio[% compliment]),FALSE),"")</f>
        <v>1</v>
      </c>
    </row>
    <row r="65" spans="1:13" ht="30" x14ac:dyDescent="0.2">
      <c r="A65" t="str">
        <f t="array" ref="A65">IFERROR(IF(VLOOKUP($E65,Avaluacio[],COLUMN(Avaluacio[Codi ítem]),FALSE)=$E65,'1_Plantejament'!$B$5,""),"")</f>
        <v xml:space="preserve">Ajuntament de la Tallada d'Empordà </v>
      </c>
      <c r="B65">
        <f t="array" ref="B65">IFERROR(IF(VLOOKUP($E65,Avaluacio[],COLUMN(Avaluacio[Codi ítem]),FALSE)=$E65,'1_Plantejament'!$B$9,""),"")</f>
        <v>2026</v>
      </c>
      <c r="C65">
        <f t="array" ref="C65">IFERROR(IF(VLOOKUP($E65,Avaluacio[],COLUMN(Avaluacio[Codi ítem]),FALSE)=$E65,'1_Plantejament'!$B$10,""),"")</f>
        <v>46205</v>
      </c>
      <c r="D65" s="6" t="str">
        <f t="array" ref="D65">IFERROR(IF(VLOOKUP($E65,Avaluacio[],COLUMN(Avaluacio[Codi ítem]),FALSE)=$E65,'1_Plantejament'!$B$7,""),"")</f>
        <v>Fase 5</v>
      </c>
      <c r="E65" s="6" t="str">
        <f t="array" ref="E65">IFERROR(INDEX(Avaluacio[Codi ítem],(MATCH(0,INDEX(COUNTIF(E$1:E64,Avaluacio[Codi ítem]),0,0)+INDEX(Avaluacio[Avaluable]="No",0,0),0))),"")</f>
        <v>XGO065</v>
      </c>
      <c r="F65" s="45" t="str">
        <f t="array" ref="F65">IFERROR(VLOOKUP(E65,Avaluacio[],COLUMN(Avaluacio[Ítem]),FALSE),"")</f>
        <v>Avaluació de l'aplicació de les normes</v>
      </c>
      <c r="G65" t="str">
        <f t="array" ref="G65">IFERROR(VLOOKUP(E65,Avaluacio[],COLUMN(Avaluacio[Família]),FALSE),"")</f>
        <v>Acció de govern i normativa</v>
      </c>
      <c r="H65" t="str">
        <f t="array" ref="H65">IFERROR(VLOOKUP(E65,Avaluacio[],COLUMN(Avaluacio[Subfamília]),FALSE),"")</f>
        <v>Normativa, plans i programes</v>
      </c>
      <c r="I65" s="6" t="str">
        <f t="array" ref="I65">IFERROR(VLOOKUP(E65,Avaluacio[],COLUMN(Avaluacio[Contingut]),FALSE),"")</f>
        <v>Sí</v>
      </c>
      <c r="J65" s="6" t="str">
        <f t="array" ref="J65">IFERROR(VLOOKUP(E65,Avaluacio[],COLUMN(Avaluacio[Actualització]),FALSE),"")</f>
        <v>Sí</v>
      </c>
      <c r="K65" s="6" t="str">
        <f t="array" ref="K65">IFERROR(VLOOKUP(E65,Avaluacio[],COLUMN(#REF!),FALSE),"")</f>
        <v/>
      </c>
      <c r="L65" t="str">
        <f t="array" ref="L65">IFERROR(VLOOKUP(E65,Avaluacio[],COLUMN(Avaluacio[Grau de compliment]),FALSE),"")</f>
        <v>Compleix totalment</v>
      </c>
      <c r="M65" s="8">
        <f t="array" ref="M65">IFERROR(VLOOKUP(E65,Avaluacio[],COLUMN(Avaluacio[% compliment]),FALSE),"")</f>
        <v>1</v>
      </c>
    </row>
    <row r="66" spans="1:13" ht="45" x14ac:dyDescent="0.2">
      <c r="A66" t="str">
        <f t="array" ref="A66">IFERROR(IF(VLOOKUP($E66,Avaluacio[],COLUMN(Avaluacio[Codi ítem]),FALSE)=$E66,'1_Plantejament'!$B$5,""),"")</f>
        <v xml:space="preserve">Ajuntament de la Tallada d'Empordà </v>
      </c>
      <c r="B66">
        <f t="array" ref="B66">IFERROR(IF(VLOOKUP($E66,Avaluacio[],COLUMN(Avaluacio[Codi ítem]),FALSE)=$E66,'1_Plantejament'!$B$9,""),"")</f>
        <v>2026</v>
      </c>
      <c r="C66">
        <f t="array" ref="C66">IFERROR(IF(VLOOKUP($E66,Avaluacio[],COLUMN(Avaluacio[Codi ítem]),FALSE)=$E66,'1_Plantejament'!$B$10,""),"")</f>
        <v>46205</v>
      </c>
      <c r="D66" s="6" t="str">
        <f t="array" ref="D66">IFERROR(IF(VLOOKUP($E66,Avaluacio[],COLUMN(Avaluacio[Codi ítem]),FALSE)=$E66,'1_Plantejament'!$B$7,""),"")</f>
        <v>Fase 5</v>
      </c>
      <c r="E66" s="6" t="str">
        <f t="array" ref="E66">IFERROR(INDEX(Avaluacio[Codi ítem],(MATCH(0,INDEX(COUNTIF(E$1:E65,Avaluacio[Codi ítem]),0,0)+INDEX(Avaluacio[Avaluable]="No",0,0),0))),"")</f>
        <v>XGO066</v>
      </c>
      <c r="F66" s="45" t="str">
        <f t="array" ref="F66">IFERROR(VLOOKUP(E66,Avaluacio[],COLUMN(Avaluacio[Ítem]),FALSE),"")</f>
        <v>Plans i programes destacats sobre les polítiques públiques</v>
      </c>
      <c r="G66" t="str">
        <f t="array" ref="G66">IFERROR(VLOOKUP(E66,Avaluacio[],COLUMN(Avaluacio[Família]),FALSE),"")</f>
        <v>Acció de govern i normativa</v>
      </c>
      <c r="H66" t="str">
        <f t="array" ref="H66">IFERROR(VLOOKUP(E66,Avaluacio[],COLUMN(Avaluacio[Subfamília]),FALSE),"")</f>
        <v>Normativa, plans i programes</v>
      </c>
      <c r="I66" s="6" t="str">
        <f t="array" ref="I66">IFERROR(VLOOKUP(E66,Avaluacio[],COLUMN(Avaluacio[Contingut]),FALSE),"")</f>
        <v>No</v>
      </c>
      <c r="J66" s="6" t="str">
        <f t="array" ref="J66">IFERROR(VLOOKUP(E66,Avaluacio[],COLUMN(Avaluacio[Actualització]),FALSE),"")</f>
        <v>No</v>
      </c>
      <c r="K66" s="6" t="str">
        <f t="array" ref="K66">IFERROR(VLOOKUP(E66,Avaluacio[],COLUMN(#REF!),FALSE),"")</f>
        <v/>
      </c>
      <c r="L66" t="str">
        <f t="array" ref="L66">IFERROR(VLOOKUP(E66,Avaluacio[],COLUMN(Avaluacio[Grau de compliment]),FALSE),"")</f>
        <v>No compleix</v>
      </c>
      <c r="M66" s="8">
        <f t="array" ref="M66">IFERROR(VLOOKUP(E66,Avaluacio[],COLUMN(Avaluacio[% compliment]),FALSE),"")</f>
        <v>0</v>
      </c>
    </row>
    <row r="67" spans="1:13" ht="28.5" x14ac:dyDescent="0.2">
      <c r="A67" t="str">
        <f t="array" ref="A67">IFERROR(IF(VLOOKUP($E67,Avaluacio[],COLUMN(Avaluacio[Codi ítem]),FALSE)=$E67,'1_Plantejament'!$B$5,""),"")</f>
        <v xml:space="preserve">Ajuntament de la Tallada d'Empordà </v>
      </c>
      <c r="B67">
        <f t="array" ref="B67">IFERROR(IF(VLOOKUP($E67,Avaluacio[],COLUMN(Avaluacio[Codi ítem]),FALSE)=$E67,'1_Plantejament'!$B$9,""),"")</f>
        <v>2026</v>
      </c>
      <c r="C67">
        <f t="array" ref="C67">IFERROR(IF(VLOOKUP($E67,Avaluacio[],COLUMN(Avaluacio[Codi ítem]),FALSE)=$E67,'1_Plantejament'!$B$10,""),"")</f>
        <v>46205</v>
      </c>
      <c r="D67" s="6" t="str">
        <f t="array" ref="D67">IFERROR(IF(VLOOKUP($E67,Avaluacio[],COLUMN(Avaluacio[Codi ítem]),FALSE)=$E67,'1_Plantejament'!$B$7,""),"")</f>
        <v>Fase 5</v>
      </c>
      <c r="E67" s="6" t="str">
        <f t="array" ref="E67">IFERROR(INDEX(Avaluacio[Codi ítem],(MATCH(0,INDEX(COUNTIF(E$1:E66,Avaluacio[Codi ítem]),0,0)+INDEX(Avaluacio[Avaluable]="No",0,0),0))),"")</f>
        <v>XGO067</v>
      </c>
      <c r="F67" s="45" t="str">
        <f t="array" ref="F67">IFERROR(VLOOKUP(E67,Avaluacio[],COLUMN(Avaluacio[Ítem]),FALSE),"")</f>
        <v>Pla anual normatiu</v>
      </c>
      <c r="G67" t="str">
        <f t="array" ref="G67">IFERROR(VLOOKUP(E67,Avaluacio[],COLUMN(Avaluacio[Família]),FALSE),"")</f>
        <v>Acció de govern i normativa</v>
      </c>
      <c r="H67" t="str">
        <f t="array" ref="H67">IFERROR(VLOOKUP(E67,Avaluacio[],COLUMN(Avaluacio[Subfamília]),FALSE),"")</f>
        <v>Normativa, plans i programes</v>
      </c>
      <c r="I67" s="6" t="str">
        <f t="array" ref="I67">IFERROR(VLOOKUP(E67,Avaluacio[],COLUMN(Avaluacio[Contingut]),FALSE),"")</f>
        <v>Sí</v>
      </c>
      <c r="J67" s="6" t="str">
        <f t="array" ref="J67">IFERROR(VLOOKUP(E67,Avaluacio[],COLUMN(Avaluacio[Actualització]),FALSE),"")</f>
        <v>Sí</v>
      </c>
      <c r="K67" s="6" t="str">
        <f t="array" ref="K67">IFERROR(VLOOKUP(E67,Avaluacio[],COLUMN(#REF!),FALSE),"")</f>
        <v/>
      </c>
      <c r="L67" t="str">
        <f t="array" ref="L67">IFERROR(VLOOKUP(E67,Avaluacio[],COLUMN(Avaluacio[Grau de compliment]),FALSE),"")</f>
        <v>Compleix totalment</v>
      </c>
      <c r="M67" s="8">
        <f t="array" ref="M67">IFERROR(VLOOKUP(E67,Avaluacio[],COLUMN(Avaluacio[% compliment]),FALSE),"")</f>
        <v>1</v>
      </c>
    </row>
    <row r="68" spans="1:13" ht="28.5" x14ac:dyDescent="0.2">
      <c r="A68" t="str">
        <f t="array" ref="A68">IFERROR(IF(VLOOKUP($E68,Avaluacio[],COLUMN(Avaluacio[Codi ítem]),FALSE)=$E68,'1_Plantejament'!$B$5,""),"")</f>
        <v xml:space="preserve">Ajuntament de la Tallada d'Empordà </v>
      </c>
      <c r="B68">
        <f t="array" ref="B68">IFERROR(IF(VLOOKUP($E68,Avaluacio[],COLUMN(Avaluacio[Codi ítem]),FALSE)=$E68,'1_Plantejament'!$B$9,""),"")</f>
        <v>2026</v>
      </c>
      <c r="C68">
        <f t="array" ref="C68">IFERROR(IF(VLOOKUP($E68,Avaluacio[],COLUMN(Avaluacio[Codi ítem]),FALSE)=$E68,'1_Plantejament'!$B$10,""),"")</f>
        <v>46205</v>
      </c>
      <c r="D68" s="6" t="str">
        <f t="array" ref="D68">IFERROR(IF(VLOOKUP($E68,Avaluacio[],COLUMN(Avaluacio[Codi ítem]),FALSE)=$E68,'1_Plantejament'!$B$7,""),"")</f>
        <v>Fase 5</v>
      </c>
      <c r="E68" s="6" t="str">
        <f t="array" ref="E68">IFERROR(INDEX(Avaluacio[Codi ítem],(MATCH(0,INDEX(COUNTIF(E$1:E67,Avaluacio[Codi ítem]),0,0)+INDEX(Avaluacio[Avaluable]="No",0,0),0))),"")</f>
        <v>XGO068</v>
      </c>
      <c r="F68" s="45" t="str">
        <f t="array" ref="F68">IFERROR(VLOOKUP(E68,Avaluacio[],COLUMN(Avaluacio[Ítem]),FALSE),"")</f>
        <v>Calendari i padrons fiscals</v>
      </c>
      <c r="G68" t="str">
        <f t="array" ref="G68">IFERROR(VLOOKUP(E68,Avaluacio[],COLUMN(Avaluacio[Família]),FALSE),"")</f>
        <v>Acció de govern i normativa</v>
      </c>
      <c r="H68" t="str">
        <f t="array" ref="H68">IFERROR(VLOOKUP(E68,Avaluacio[],COLUMN(Avaluacio[Subfamília]),FALSE),"")</f>
        <v>Normativa, plans i programes</v>
      </c>
      <c r="I68" s="6" t="str">
        <f t="array" ref="I68">IFERROR(VLOOKUP(E68,Avaluacio[],COLUMN(Avaluacio[Contingut]),FALSE),"")</f>
        <v>Sí</v>
      </c>
      <c r="J68" s="6" t="str">
        <f t="array" ref="J68">IFERROR(VLOOKUP(E68,Avaluacio[],COLUMN(Avaluacio[Actualització]),FALSE),"")</f>
        <v>Sí</v>
      </c>
      <c r="K68" s="6" t="str">
        <f t="array" ref="K68">IFERROR(VLOOKUP(E68,Avaluacio[],COLUMN(#REF!),FALSE),"")</f>
        <v/>
      </c>
      <c r="L68" t="str">
        <f t="array" ref="L68">IFERROR(VLOOKUP(E68,Avaluacio[],COLUMN(Avaluacio[Grau de compliment]),FALSE),"")</f>
        <v>Compleix totalment</v>
      </c>
      <c r="M68" s="8">
        <f t="array" ref="M68">IFERROR(VLOOKUP(E68,Avaluacio[],COLUMN(Avaluacio[% compliment]),FALSE),"")</f>
        <v>1</v>
      </c>
    </row>
    <row r="69" spans="1:13" ht="28.5" x14ac:dyDescent="0.2">
      <c r="A69" t="str">
        <f t="array" ref="A69">IFERROR(IF(VLOOKUP($E69,Avaluacio[],COLUMN(Avaluacio[Codi ítem]),FALSE)=$E69,'1_Plantejament'!$B$5,""),"")</f>
        <v xml:space="preserve">Ajuntament de la Tallada d'Empordà </v>
      </c>
      <c r="B69">
        <f t="array" ref="B69">IFERROR(IF(VLOOKUP($E69,Avaluacio[],COLUMN(Avaluacio[Codi ítem]),FALSE)=$E69,'1_Plantejament'!$B$9,""),"")</f>
        <v>2026</v>
      </c>
      <c r="C69">
        <f t="array" ref="C69">IFERROR(IF(VLOOKUP($E69,Avaluacio[],COLUMN(Avaluacio[Codi ítem]),FALSE)=$E69,'1_Plantejament'!$B$10,""),"")</f>
        <v>46205</v>
      </c>
      <c r="D69" s="6" t="str">
        <f t="array" ref="D69">IFERROR(IF(VLOOKUP($E69,Avaluacio[],COLUMN(Avaluacio[Codi ítem]),FALSE)=$E69,'1_Plantejament'!$B$7,""),"")</f>
        <v>Fase 5</v>
      </c>
      <c r="E69" s="6" t="str">
        <f t="array" ref="E69">IFERROR(INDEX(Avaluacio[Codi ítem],(MATCH(0,INDEX(COUNTIF(E$1:E68,Avaluacio[Codi ítem]),0,0)+INDEX(Avaluacio[Avaluable]="No",0,0),0))),"")</f>
        <v>XGO069</v>
      </c>
      <c r="F69" s="45" t="str">
        <f t="array" ref="F69">IFERROR(VLOOKUP(E69,Avaluacio[],COLUMN(Avaluacio[Ítem]),FALSE),"")</f>
        <v>Tipus impositius</v>
      </c>
      <c r="G69" t="str">
        <f t="array" ref="G69">IFERROR(VLOOKUP(E69,Avaluacio[],COLUMN(Avaluacio[Família]),FALSE),"")</f>
        <v>Acció de govern i normativa</v>
      </c>
      <c r="H69" t="str">
        <f t="array" ref="H69">IFERROR(VLOOKUP(E69,Avaluacio[],COLUMN(Avaluacio[Subfamília]),FALSE),"")</f>
        <v>Normativa, plans i programes</v>
      </c>
      <c r="I69" s="6" t="str">
        <f t="array" ref="I69">IFERROR(VLOOKUP(E69,Avaluacio[],COLUMN(Avaluacio[Contingut]),FALSE),"")</f>
        <v>Sí</v>
      </c>
      <c r="J69" s="6" t="str">
        <f t="array" ref="J69">IFERROR(VLOOKUP(E69,Avaluacio[],COLUMN(Avaluacio[Actualització]),FALSE),"")</f>
        <v>Sí</v>
      </c>
      <c r="K69" s="6" t="str">
        <f t="array" ref="K69">IFERROR(VLOOKUP(E69,Avaluacio[],COLUMN(#REF!),FALSE),"")</f>
        <v/>
      </c>
      <c r="L69" t="str">
        <f t="array" ref="L69">IFERROR(VLOOKUP(E69,Avaluacio[],COLUMN(Avaluacio[Grau de compliment]),FALSE),"")</f>
        <v>Compleix totalment</v>
      </c>
      <c r="M69" s="8">
        <f t="array" ref="M69">IFERROR(VLOOKUP(E69,Avaluacio[],COLUMN(Avaluacio[% compliment]),FALSE),"")</f>
        <v>1</v>
      </c>
    </row>
    <row r="70" spans="1:13" ht="28.5" x14ac:dyDescent="0.2">
      <c r="A70" t="str">
        <f t="array" ref="A70">IFERROR(IF(VLOOKUP($E70,Avaluacio[],COLUMN(Avaluacio[Codi ítem]),FALSE)=$E70,'1_Plantejament'!$B$5,""),"")</f>
        <v xml:space="preserve">Ajuntament de la Tallada d'Empordà </v>
      </c>
      <c r="B70">
        <f t="array" ref="B70">IFERROR(IF(VLOOKUP($E70,Avaluacio[],COLUMN(Avaluacio[Codi ítem]),FALSE)=$E70,'1_Plantejament'!$B$9,""),"")</f>
        <v>2026</v>
      </c>
      <c r="C70">
        <f t="array" ref="C70">IFERROR(IF(VLOOKUP($E70,Avaluacio[],COLUMN(Avaluacio[Codi ítem]),FALSE)=$E70,'1_Plantejament'!$B$10,""),"")</f>
        <v>46205</v>
      </c>
      <c r="D70" s="6" t="str">
        <f t="array" ref="D70">IFERROR(IF(VLOOKUP($E70,Avaluacio[],COLUMN(Avaluacio[Codi ítem]),FALSE)=$E70,'1_Plantejament'!$B$7,""),"")</f>
        <v>Fase 5</v>
      </c>
      <c r="E70" s="6" t="str">
        <f t="array" ref="E70">IFERROR(INDEX(Avaluacio[Codi ítem],(MATCH(0,INDEX(COUNTIF(E$1:E69,Avaluacio[Codi ítem]),0,0)+INDEX(Avaluacio[Avaluable]="No",0,0),0))),"")</f>
        <v>XGO070</v>
      </c>
      <c r="F70" s="45" t="str">
        <f t="array" ref="F70">IFERROR(VLOOKUP(E70,Avaluacio[],COLUMN(Avaluacio[Ítem]),FALSE),"")</f>
        <v>Normativa d'urbanisme</v>
      </c>
      <c r="G70" t="str">
        <f t="array" ref="G70">IFERROR(VLOOKUP(E70,Avaluacio[],COLUMN(Avaluacio[Família]),FALSE),"")</f>
        <v>Acció de govern i normativa</v>
      </c>
      <c r="H70" t="str">
        <f t="array" ref="H70">IFERROR(VLOOKUP(E70,Avaluacio[],COLUMN(Avaluacio[Subfamília]),FALSE),"")</f>
        <v>Urbanisme</v>
      </c>
      <c r="I70" s="6" t="str">
        <f t="array" ref="I70">IFERROR(VLOOKUP(E70,Avaluacio[],COLUMN(Avaluacio[Contingut]),FALSE),"")</f>
        <v>Sí</v>
      </c>
      <c r="J70" s="6" t="str">
        <f t="array" ref="J70">IFERROR(VLOOKUP(E70,Avaluacio[],COLUMN(Avaluacio[Actualització]),FALSE),"")</f>
        <v>Sí</v>
      </c>
      <c r="K70" s="6" t="str">
        <f t="array" ref="K70">IFERROR(VLOOKUP(E70,Avaluacio[],COLUMN(#REF!),FALSE),"")</f>
        <v/>
      </c>
      <c r="L70" t="str">
        <f t="array" ref="L70">IFERROR(VLOOKUP(E70,Avaluacio[],COLUMN(Avaluacio[Grau de compliment]),FALSE),"")</f>
        <v>Compleix totalment</v>
      </c>
      <c r="M70" s="8">
        <f t="array" ref="M70">IFERROR(VLOOKUP(E70,Avaluacio[],COLUMN(Avaluacio[% compliment]),FALSE),"")</f>
        <v>1</v>
      </c>
    </row>
    <row r="71" spans="1:13" ht="28.5" x14ac:dyDescent="0.2">
      <c r="A71" t="str">
        <f t="array" ref="A71">IFERROR(IF(VLOOKUP($E71,Avaluacio[],COLUMN(Avaluacio[Codi ítem]),FALSE)=$E71,'1_Plantejament'!$B$5,""),"")</f>
        <v xml:space="preserve">Ajuntament de la Tallada d'Empordà </v>
      </c>
      <c r="B71">
        <f t="array" ref="B71">IFERROR(IF(VLOOKUP($E71,Avaluacio[],COLUMN(Avaluacio[Codi ítem]),FALSE)=$E71,'1_Plantejament'!$B$9,""),"")</f>
        <v>2026</v>
      </c>
      <c r="C71">
        <f t="array" ref="C71">IFERROR(IF(VLOOKUP($E71,Avaluacio[],COLUMN(Avaluacio[Codi ítem]),FALSE)=$E71,'1_Plantejament'!$B$10,""),"")</f>
        <v>46205</v>
      </c>
      <c r="D71" s="6" t="str">
        <f t="array" ref="D71">IFERROR(IF(VLOOKUP($E71,Avaluacio[],COLUMN(Avaluacio[Codi ítem]),FALSE)=$E71,'1_Plantejament'!$B$7,""),"")</f>
        <v>Fase 5</v>
      </c>
      <c r="E71" s="6" t="str">
        <f t="array" ref="E71">IFERROR(INDEX(Avaluacio[Codi ítem],(MATCH(0,INDEX(COUNTIF(E$1:E70,Avaluacio[Codi ítem]),0,0)+INDEX(Avaluacio[Avaluable]="No",0,0),0))),"")</f>
        <v>XGO071</v>
      </c>
      <c r="F71" s="45" t="str">
        <f t="array" ref="F71">IFERROR(VLOOKUP(E71,Avaluacio[],COLUMN(Avaluacio[Ítem]),FALSE),"")</f>
        <v>Planejament urbanístic</v>
      </c>
      <c r="G71" t="str">
        <f t="array" ref="G71">IFERROR(VLOOKUP(E71,Avaluacio[],COLUMN(Avaluacio[Família]),FALSE),"")</f>
        <v>Acció de govern i normativa</v>
      </c>
      <c r="H71" t="str">
        <f t="array" ref="H71">IFERROR(VLOOKUP(E71,Avaluacio[],COLUMN(Avaluacio[Subfamília]),FALSE),"")</f>
        <v>Urbanisme</v>
      </c>
      <c r="I71" s="6" t="str">
        <f t="array" ref="I71">IFERROR(VLOOKUP(E71,Avaluacio[],COLUMN(Avaluacio[Contingut]),FALSE),"")</f>
        <v>Sí</v>
      </c>
      <c r="J71" s="6" t="str">
        <f t="array" ref="J71">IFERROR(VLOOKUP(E71,Avaluacio[],COLUMN(Avaluacio[Actualització]),FALSE),"")</f>
        <v>Sí</v>
      </c>
      <c r="K71" s="6" t="str">
        <f t="array" ref="K71">IFERROR(VLOOKUP(E71,Avaluacio[],COLUMN(#REF!),FALSE),"")</f>
        <v/>
      </c>
      <c r="L71" t="str">
        <f t="array" ref="L71">IFERROR(VLOOKUP(E71,Avaluacio[],COLUMN(Avaluacio[Grau de compliment]),FALSE),"")</f>
        <v>Compleix totalment</v>
      </c>
      <c r="M71" s="8">
        <f t="array" ref="M71">IFERROR(VLOOKUP(E71,Avaluacio[],COLUMN(Avaluacio[% compliment]),FALSE),"")</f>
        <v>1</v>
      </c>
    </row>
    <row r="72" spans="1:13" ht="30" x14ac:dyDescent="0.2">
      <c r="A72" t="str">
        <f t="array" ref="A72">IFERROR(IF(VLOOKUP($E72,Avaluacio[],COLUMN(Avaluacio[Codi ítem]),FALSE)=$E72,'1_Plantejament'!$B$5,""),"")</f>
        <v xml:space="preserve">Ajuntament de la Tallada d'Empordà </v>
      </c>
      <c r="B72">
        <f t="array" ref="B72">IFERROR(IF(VLOOKUP($E72,Avaluacio[],COLUMN(Avaluacio[Codi ítem]),FALSE)=$E72,'1_Plantejament'!$B$9,""),"")</f>
        <v>2026</v>
      </c>
      <c r="C72">
        <f t="array" ref="C72">IFERROR(IF(VLOOKUP($E72,Avaluacio[],COLUMN(Avaluacio[Codi ítem]),FALSE)=$E72,'1_Plantejament'!$B$10,""),"")</f>
        <v>46205</v>
      </c>
      <c r="D72" s="6" t="str">
        <f t="array" ref="D72">IFERROR(IF(VLOOKUP($E72,Avaluacio[],COLUMN(Avaluacio[Codi ítem]),FALSE)=$E72,'1_Plantejament'!$B$7,""),"")</f>
        <v>Fase 5</v>
      </c>
      <c r="E72" s="6" t="str">
        <f t="array" ref="E72">IFERROR(INDEX(Avaluacio[Codi ítem],(MATCH(0,INDEX(COUNTIF(E$1:E71,Avaluacio[Codi ítem]),0,0)+INDEX(Avaluacio[Avaluable]="No",0,0),0))),"")</f>
        <v>XGO072</v>
      </c>
      <c r="F72" s="45" t="str">
        <f t="array" ref="F72">IFERROR(VLOOKUP(E72,Avaluacio[],COLUMN(Avaluacio[Ítem]),FALSE),"")</f>
        <v>Informació geogràfica d'urbanisme</v>
      </c>
      <c r="G72" t="str">
        <f t="array" ref="G72">IFERROR(VLOOKUP(E72,Avaluacio[],COLUMN(Avaluacio[Família]),FALSE),"")</f>
        <v>Acció de govern i normativa</v>
      </c>
      <c r="H72" t="str">
        <f t="array" ref="H72">IFERROR(VLOOKUP(E72,Avaluacio[],COLUMN(Avaluacio[Subfamília]),FALSE),"")</f>
        <v>Urbanisme</v>
      </c>
      <c r="I72" s="6" t="str">
        <f t="array" ref="I72">IFERROR(VLOOKUP(E72,Avaluacio[],COLUMN(Avaluacio[Contingut]),FALSE),"")</f>
        <v>Sí</v>
      </c>
      <c r="J72" s="6" t="str">
        <f t="array" ref="J72">IFERROR(VLOOKUP(E72,Avaluacio[],COLUMN(Avaluacio[Actualització]),FALSE),"")</f>
        <v>Sí</v>
      </c>
      <c r="K72" s="6" t="str">
        <f t="array" ref="K72">IFERROR(VLOOKUP(E72,Avaluacio[],COLUMN(#REF!),FALSE),"")</f>
        <v/>
      </c>
      <c r="L72" t="str">
        <f t="array" ref="L72">IFERROR(VLOOKUP(E72,Avaluacio[],COLUMN(Avaluacio[Grau de compliment]),FALSE),"")</f>
        <v>Compleix totalment</v>
      </c>
      <c r="M72" s="8">
        <f t="array" ref="M72">IFERROR(VLOOKUP(E72,Avaluacio[],COLUMN(Avaluacio[% compliment]),FALSE),"")</f>
        <v>1</v>
      </c>
    </row>
    <row r="73" spans="1:13" ht="30" x14ac:dyDescent="0.2">
      <c r="A73" t="str">
        <f t="array" ref="A73">IFERROR(IF(VLOOKUP($E73,Avaluacio[],COLUMN(Avaluacio[Codi ítem]),FALSE)=$E73,'1_Plantejament'!$B$5,""),"")</f>
        <v xml:space="preserve">Ajuntament de la Tallada d'Empordà </v>
      </c>
      <c r="B73">
        <f t="array" ref="B73">IFERROR(IF(VLOOKUP($E73,Avaluacio[],COLUMN(Avaluacio[Codi ítem]),FALSE)=$E73,'1_Plantejament'!$B$9,""),"")</f>
        <v>2026</v>
      </c>
      <c r="C73">
        <f t="array" ref="C73">IFERROR(IF(VLOOKUP($E73,Avaluacio[],COLUMN(Avaluacio[Codi ítem]),FALSE)=$E73,'1_Plantejament'!$B$10,""),"")</f>
        <v>46205</v>
      </c>
      <c r="D73" s="6" t="str">
        <f t="array" ref="D73">IFERROR(IF(VLOOKUP($E73,Avaluacio[],COLUMN(Avaluacio[Codi ítem]),FALSE)=$E73,'1_Plantejament'!$B$7,""),"")</f>
        <v>Fase 5</v>
      </c>
      <c r="E73" s="6" t="str">
        <f t="array" ref="E73">IFERROR(INDEX(Avaluacio[Codi ítem],(MATCH(0,INDEX(COUNTIF(E$1:E72,Avaluacio[Codi ítem]),0,0)+INDEX(Avaluacio[Avaluable]="No",0,0),0))),"")</f>
        <v>XGO073</v>
      </c>
      <c r="F73" s="45" t="str">
        <f t="array" ref="F73">IFERROR(VLOOKUP(E73,Avaluacio[],COLUMN(Avaluacio[Ítem]),FALSE),"")</f>
        <v>Plans territorials d'urbanisme</v>
      </c>
      <c r="G73" t="str">
        <f t="array" ref="G73">IFERROR(VLOOKUP(E73,Avaluacio[],COLUMN(Avaluacio[Família]),FALSE),"")</f>
        <v>Acció de govern i normativa</v>
      </c>
      <c r="H73" t="str">
        <f t="array" ref="H73">IFERROR(VLOOKUP(E73,Avaluacio[],COLUMN(Avaluacio[Subfamília]),FALSE),"")</f>
        <v>Urbanisme</v>
      </c>
      <c r="I73" s="6" t="str">
        <f t="array" ref="I73">IFERROR(VLOOKUP(E73,Avaluacio[],COLUMN(Avaluacio[Contingut]),FALSE),"")</f>
        <v>Sí</v>
      </c>
      <c r="J73" s="6" t="str">
        <f t="array" ref="J73">IFERROR(VLOOKUP(E73,Avaluacio[],COLUMN(Avaluacio[Actualització]),FALSE),"")</f>
        <v>Sí</v>
      </c>
      <c r="K73" s="6" t="str">
        <f t="array" ref="K73">IFERROR(VLOOKUP(E73,Avaluacio[],COLUMN(#REF!),FALSE),"")</f>
        <v/>
      </c>
      <c r="L73" t="str">
        <f t="array" ref="L73">IFERROR(VLOOKUP(E73,Avaluacio[],COLUMN(Avaluacio[Grau de compliment]),FALSE),"")</f>
        <v>Compleix totalment</v>
      </c>
      <c r="M73" s="8">
        <f t="array" ref="M73">IFERROR(VLOOKUP(E73,Avaluacio[],COLUMN(Avaluacio[% compliment]),FALSE),"")</f>
        <v>1</v>
      </c>
    </row>
    <row r="74" spans="1:13" ht="30" x14ac:dyDescent="0.2">
      <c r="A74" t="str">
        <f t="array" ref="A74">IFERROR(IF(VLOOKUP($E74,Avaluacio[],COLUMN(Avaluacio[Codi ítem]),FALSE)=$E74,'1_Plantejament'!$B$5,""),"")</f>
        <v xml:space="preserve">Ajuntament de la Tallada d'Empordà </v>
      </c>
      <c r="B74">
        <f t="array" ref="B74">IFERROR(IF(VLOOKUP($E74,Avaluacio[],COLUMN(Avaluacio[Codi ítem]),FALSE)=$E74,'1_Plantejament'!$B$9,""),"")</f>
        <v>2026</v>
      </c>
      <c r="C74">
        <f t="array" ref="C74">IFERROR(IF(VLOOKUP($E74,Avaluacio[],COLUMN(Avaluacio[Codi ítem]),FALSE)=$E74,'1_Plantejament'!$B$10,""),"")</f>
        <v>46205</v>
      </c>
      <c r="D74" s="6" t="str">
        <f t="array" ref="D74">IFERROR(IF(VLOOKUP($E74,Avaluacio[],COLUMN(Avaluacio[Codi ítem]),FALSE)=$E74,'1_Plantejament'!$B$7,""),"")</f>
        <v>Fase 5</v>
      </c>
      <c r="E74" s="6" t="str">
        <f t="array" ref="E74">IFERROR(INDEX(Avaluacio[Codi ítem],(MATCH(0,INDEX(COUNTIF(E$1:E73,Avaluacio[Codi ítem]),0,0)+INDEX(Avaluacio[Avaluable]="No",0,0),0))),"")</f>
        <v>XGO074</v>
      </c>
      <c r="F74" s="45" t="str">
        <f t="array" ref="F74">IFERROR(VLOOKUP(E74,Avaluacio[],COLUMN(Avaluacio[Ítem]),FALSE),"")</f>
        <v>Estudis d'impacte ambiental i paisatgístic</v>
      </c>
      <c r="G74" t="str">
        <f t="array" ref="G74">IFERROR(VLOOKUP(E74,Avaluacio[],COLUMN(Avaluacio[Família]),FALSE),"")</f>
        <v>Acció de govern i normativa</v>
      </c>
      <c r="H74" t="str">
        <f t="array" ref="H74">IFERROR(VLOOKUP(E74,Avaluacio[],COLUMN(Avaluacio[Subfamília]),FALSE),"")</f>
        <v>Urbanisme</v>
      </c>
      <c r="I74" s="6" t="str">
        <f t="array" ref="I74">IFERROR(VLOOKUP(E74,Avaluacio[],COLUMN(Avaluacio[Contingut]),FALSE),"")</f>
        <v>Sí</v>
      </c>
      <c r="J74" s="6" t="str">
        <f t="array" ref="J74">IFERROR(VLOOKUP(E74,Avaluacio[],COLUMN(Avaluacio[Actualització]),FALSE),"")</f>
        <v>Sí</v>
      </c>
      <c r="K74" s="6" t="str">
        <f t="array" ref="K74">IFERROR(VLOOKUP(E74,Avaluacio[],COLUMN(#REF!),FALSE),"")</f>
        <v/>
      </c>
      <c r="L74" t="str">
        <f t="array" ref="L74">IFERROR(VLOOKUP(E74,Avaluacio[],COLUMN(Avaluacio[Grau de compliment]),FALSE),"")</f>
        <v>Compleix totalment</v>
      </c>
      <c r="M74" s="8">
        <f t="array" ref="M74">IFERROR(VLOOKUP(E74,Avaluacio[],COLUMN(Avaluacio[% compliment]),FALSE),"")</f>
        <v>1</v>
      </c>
    </row>
    <row r="75" spans="1:13" ht="30" x14ac:dyDescent="0.2">
      <c r="A75" t="str">
        <f t="array" ref="A75">IFERROR(IF(VLOOKUP($E75,Avaluacio[],COLUMN(Avaluacio[Codi ítem]),FALSE)=$E75,'1_Plantejament'!$B$5,""),"")</f>
        <v xml:space="preserve">Ajuntament de la Tallada d'Empordà </v>
      </c>
      <c r="B75">
        <f t="array" ref="B75">IFERROR(IF(VLOOKUP($E75,Avaluacio[],COLUMN(Avaluacio[Codi ítem]),FALSE)=$E75,'1_Plantejament'!$B$9,""),"")</f>
        <v>2026</v>
      </c>
      <c r="C75">
        <f t="array" ref="C75">IFERROR(IF(VLOOKUP($E75,Avaluacio[],COLUMN(Avaluacio[Codi ítem]),FALSE)=$E75,'1_Plantejament'!$B$10,""),"")</f>
        <v>46205</v>
      </c>
      <c r="D75" s="6" t="str">
        <f t="array" ref="D75">IFERROR(IF(VLOOKUP($E75,Avaluacio[],COLUMN(Avaluacio[Codi ítem]),FALSE)=$E75,'1_Plantejament'!$B$7,""),"")</f>
        <v>Fase 5</v>
      </c>
      <c r="E75" s="6" t="str">
        <f t="array" ref="E75">IFERROR(INDEX(Avaluacio[Codi ítem],(MATCH(0,INDEX(COUNTIF(E$1:E74,Avaluacio[Codi ítem]),0,0)+INDEX(Avaluacio[Avaluable]="No",0,0),0))),"")</f>
        <v>XGO075</v>
      </c>
      <c r="F75" s="45" t="str">
        <f t="array" ref="F75">IFERROR(VLOOKUP(E75,Avaluacio[],COLUMN(Avaluacio[Ítem]),FALSE),"")</f>
        <v>Calendari de conservació i règim d'accés documental</v>
      </c>
      <c r="G75" t="str">
        <f t="array" ref="G75">IFERROR(VLOOKUP(E75,Avaluacio[],COLUMN(Avaluacio[Família]),FALSE),"")</f>
        <v>Acció de govern i normativa</v>
      </c>
      <c r="H75" t="str">
        <f t="array" ref="H75">IFERROR(VLOOKUP(E75,Avaluacio[],COLUMN(Avaluacio[Subfamília]),FALSE),"")</f>
        <v>Gestió documental i arxiu</v>
      </c>
      <c r="I75" s="6" t="str">
        <f t="array" ref="I75">IFERROR(VLOOKUP(E75,Avaluacio[],COLUMN(Avaluacio[Contingut]),FALSE),"")</f>
        <v>Sí</v>
      </c>
      <c r="J75" s="6" t="str">
        <f t="array" ref="J75">IFERROR(VLOOKUP(E75,Avaluacio[],COLUMN(Avaluacio[Actualització]),FALSE),"")</f>
        <v>Sí</v>
      </c>
      <c r="K75" s="6" t="str">
        <f t="array" ref="K75">IFERROR(VLOOKUP(E75,Avaluacio[],COLUMN(#REF!),FALSE),"")</f>
        <v/>
      </c>
      <c r="L75" t="str">
        <f t="array" ref="L75">IFERROR(VLOOKUP(E75,Avaluacio[],COLUMN(Avaluacio[Grau de compliment]),FALSE),"")</f>
        <v>Compleix totalment</v>
      </c>
      <c r="M75" s="8">
        <f t="array" ref="M75">IFERROR(VLOOKUP(E75,Avaluacio[],COLUMN(Avaluacio[% compliment]),FALSE),"")</f>
        <v>1</v>
      </c>
    </row>
    <row r="76" spans="1:13" ht="30" x14ac:dyDescent="0.2">
      <c r="A76" t="str">
        <f t="array" ref="A76">IFERROR(IF(VLOOKUP($E76,Avaluacio[],COLUMN(Avaluacio[Codi ítem]),FALSE)=$E76,'1_Plantejament'!$B$5,""),"")</f>
        <v xml:space="preserve">Ajuntament de la Tallada d'Empordà </v>
      </c>
      <c r="B76">
        <f t="array" ref="B76">IFERROR(IF(VLOOKUP($E76,Avaluacio[],COLUMN(Avaluacio[Codi ítem]),FALSE)=$E76,'1_Plantejament'!$B$9,""),"")</f>
        <v>2026</v>
      </c>
      <c r="C76">
        <f t="array" ref="C76">IFERROR(IF(VLOOKUP($E76,Avaluacio[],COLUMN(Avaluacio[Codi ítem]),FALSE)=$E76,'1_Plantejament'!$B$10,""),"")</f>
        <v>46205</v>
      </c>
      <c r="D76" s="6" t="str">
        <f t="array" ref="D76">IFERROR(IF(VLOOKUP($E76,Avaluacio[],COLUMN(Avaluacio[Codi ítem]),FALSE)=$E76,'1_Plantejament'!$B$7,""),"")</f>
        <v>Fase 5</v>
      </c>
      <c r="E76" s="6" t="str">
        <f t="array" ref="E76">IFERROR(INDEX(Avaluacio[Codi ítem],(MATCH(0,INDEX(COUNTIF(E$1:E75,Avaluacio[Codi ítem]),0,0)+INDEX(Avaluacio[Avaluable]="No",0,0),0))),"")</f>
        <v>XGO076</v>
      </c>
      <c r="F76" s="45" t="str">
        <f t="array" ref="F76">IFERROR(VLOOKUP(E76,Avaluacio[],COLUMN(Avaluacio[Ítem]),FALSE),"")</f>
        <v>Quadre de classificació documental</v>
      </c>
      <c r="G76" t="str">
        <f t="array" ref="G76">IFERROR(VLOOKUP(E76,Avaluacio[],COLUMN(Avaluacio[Família]),FALSE),"")</f>
        <v>Acció de govern i normativa</v>
      </c>
      <c r="H76" t="str">
        <f t="array" ref="H76">IFERROR(VLOOKUP(E76,Avaluacio[],COLUMN(Avaluacio[Subfamília]),FALSE),"")</f>
        <v>Gestió documental i arxiu</v>
      </c>
      <c r="I76" s="6" t="str">
        <f t="array" ref="I76">IFERROR(VLOOKUP(E76,Avaluacio[],COLUMN(Avaluacio[Contingut]),FALSE),"")</f>
        <v>Sí</v>
      </c>
      <c r="J76" s="6" t="str">
        <f t="array" ref="J76">IFERROR(VLOOKUP(E76,Avaluacio[],COLUMN(Avaluacio[Actualització]),FALSE),"")</f>
        <v>Sí</v>
      </c>
      <c r="K76" s="6" t="str">
        <f t="array" ref="K76">IFERROR(VLOOKUP(E76,Avaluacio[],COLUMN(#REF!),FALSE),"")</f>
        <v/>
      </c>
      <c r="L76" t="str">
        <f t="array" ref="L76">IFERROR(VLOOKUP(E76,Avaluacio[],COLUMN(Avaluacio[Grau de compliment]),FALSE),"")</f>
        <v>Compleix totalment</v>
      </c>
      <c r="M76" s="8">
        <f t="array" ref="M76">IFERROR(VLOOKUP(E76,Avaluacio[],COLUMN(Avaluacio[% compliment]),FALSE),"")</f>
        <v>1</v>
      </c>
    </row>
    <row r="77" spans="1:13" ht="30" x14ac:dyDescent="0.2">
      <c r="A77" t="str">
        <f t="array" ref="A77">IFERROR(IF(VLOOKUP($E77,Avaluacio[],COLUMN(Avaluacio[Codi ítem]),FALSE)=$E77,'1_Plantejament'!$B$5,""),"")</f>
        <v xml:space="preserve">Ajuntament de la Tallada d'Empordà </v>
      </c>
      <c r="B77">
        <f t="array" ref="B77">IFERROR(IF(VLOOKUP($E77,Avaluacio[],COLUMN(Avaluacio[Codi ítem]),FALSE)=$E77,'1_Plantejament'!$B$9,""),"")</f>
        <v>2026</v>
      </c>
      <c r="C77">
        <f t="array" ref="C77">IFERROR(IF(VLOOKUP($E77,Avaluacio[],COLUMN(Avaluacio[Codi ítem]),FALSE)=$E77,'1_Plantejament'!$B$10,""),"")</f>
        <v>46205</v>
      </c>
      <c r="D77" s="6" t="str">
        <f t="array" ref="D77">IFERROR(IF(VLOOKUP($E77,Avaluacio[],COLUMN(Avaluacio[Codi ítem]),FALSE)=$E77,'1_Plantejament'!$B$7,""),"")</f>
        <v>Fase 5</v>
      </c>
      <c r="E77" s="6" t="str">
        <f t="array" ref="E77">IFERROR(INDEX(Avaluacio[Codi ítem],(MATCH(0,INDEX(COUNTIF(E$1:E76,Avaluacio[Codi ítem]),0,0)+INDEX(Avaluacio[Avaluable]="No",0,0),0))),"")</f>
        <v>XGO077</v>
      </c>
      <c r="F77" s="45" t="str">
        <f t="array" ref="F77">IFERROR(VLOOKUP(E77,Avaluacio[],COLUMN(Avaluacio[Ítem]),FALSE),"")</f>
        <v>Instruments de descripció documental</v>
      </c>
      <c r="G77" t="str">
        <f t="array" ref="G77">IFERROR(VLOOKUP(E77,Avaluacio[],COLUMN(Avaluacio[Família]),FALSE),"")</f>
        <v>Acció de govern i normativa</v>
      </c>
      <c r="H77" t="str">
        <f t="array" ref="H77">IFERROR(VLOOKUP(E77,Avaluacio[],COLUMN(Avaluacio[Subfamília]),FALSE),"")</f>
        <v>Gestió documental i arxiu</v>
      </c>
      <c r="I77" s="6" t="str">
        <f t="array" ref="I77">IFERROR(VLOOKUP(E77,Avaluacio[],COLUMN(Avaluacio[Contingut]),FALSE),"")</f>
        <v>Sí</v>
      </c>
      <c r="J77" s="6" t="str">
        <f t="array" ref="J77">IFERROR(VLOOKUP(E77,Avaluacio[],COLUMN(Avaluacio[Actualització]),FALSE),"")</f>
        <v>Sí</v>
      </c>
      <c r="K77" s="6" t="str">
        <f t="array" ref="K77">IFERROR(VLOOKUP(E77,Avaluacio[],COLUMN(#REF!),FALSE),"")</f>
        <v/>
      </c>
      <c r="L77" t="str">
        <f t="array" ref="L77">IFERROR(VLOOKUP(E77,Avaluacio[],COLUMN(Avaluacio[Grau de compliment]),FALSE),"")</f>
        <v>Compleix totalment</v>
      </c>
      <c r="M77" s="8">
        <f t="array" ref="M77">IFERROR(VLOOKUP(E77,Avaluacio[],COLUMN(Avaluacio[% compliment]),FALSE),"")</f>
        <v>1</v>
      </c>
    </row>
    <row r="78" spans="1:13" ht="30" x14ac:dyDescent="0.2">
      <c r="A78" t="str">
        <f t="array" ref="A78">IFERROR(IF(VLOOKUP($E78,Avaluacio[],COLUMN(Avaluacio[Codi ítem]),FALSE)=$E78,'1_Plantejament'!$B$5,""),"")</f>
        <v xml:space="preserve">Ajuntament de la Tallada d'Empordà </v>
      </c>
      <c r="B78">
        <f t="array" ref="B78">IFERROR(IF(VLOOKUP($E78,Avaluacio[],COLUMN(Avaluacio[Codi ítem]),FALSE)=$E78,'1_Plantejament'!$B$9,""),"")</f>
        <v>2026</v>
      </c>
      <c r="C78">
        <f t="array" ref="C78">IFERROR(IF(VLOOKUP($E78,Avaluacio[],COLUMN(Avaluacio[Codi ítem]),FALSE)=$E78,'1_Plantejament'!$B$10,""),"")</f>
        <v>46205</v>
      </c>
      <c r="D78" s="6" t="str">
        <f t="array" ref="D78">IFERROR(IF(VLOOKUP($E78,Avaluacio[],COLUMN(Avaluacio[Codi ítem]),FALSE)=$E78,'1_Plantejament'!$B$7,""),"")</f>
        <v>Fase 5</v>
      </c>
      <c r="E78" s="6" t="str">
        <f t="array" ref="E78">IFERROR(INDEX(Avaluacio[Codi ítem],(MATCH(0,INDEX(COUNTIF(E$1:E77,Avaluacio[Codi ítem]),0,0)+INDEX(Avaluacio[Avaluable]="No",0,0),0))),"")</f>
        <v>XGO078</v>
      </c>
      <c r="F78" s="45" t="str">
        <f t="array" ref="F78">IFERROR(VLOOKUP(E78,Avaluacio[],COLUMN(Avaluacio[Ítem]),FALSE),"")</f>
        <v>Registre d'eliminació de documents</v>
      </c>
      <c r="G78" t="str">
        <f t="array" ref="G78">IFERROR(VLOOKUP(E78,Avaluacio[],COLUMN(Avaluacio[Família]),FALSE),"")</f>
        <v>Acció de govern i normativa</v>
      </c>
      <c r="H78" t="str">
        <f t="array" ref="H78">IFERROR(VLOOKUP(E78,Avaluacio[],COLUMN(Avaluacio[Subfamília]),FALSE),"")</f>
        <v>Gestió documental i arxiu</v>
      </c>
      <c r="I78" s="6" t="str">
        <f t="array" ref="I78">IFERROR(VLOOKUP(E78,Avaluacio[],COLUMN(Avaluacio[Contingut]),FALSE),"")</f>
        <v>Sí</v>
      </c>
      <c r="J78" s="6" t="str">
        <f t="array" ref="J78">IFERROR(VLOOKUP(E78,Avaluacio[],COLUMN(Avaluacio[Actualització]),FALSE),"")</f>
        <v>Sí</v>
      </c>
      <c r="K78" s="6" t="str">
        <f t="array" ref="K78">IFERROR(VLOOKUP(E78,Avaluacio[],COLUMN(#REF!),FALSE),"")</f>
        <v/>
      </c>
      <c r="L78" t="str">
        <f t="array" ref="L78">IFERROR(VLOOKUP(E78,Avaluacio[],COLUMN(Avaluacio[Grau de compliment]),FALSE),"")</f>
        <v>Compleix totalment</v>
      </c>
      <c r="M78" s="8">
        <f t="array" ref="M78">IFERROR(VLOOKUP(E78,Avaluacio[],COLUMN(Avaluacio[% compliment]),FALSE),"")</f>
        <v>1</v>
      </c>
    </row>
    <row r="79" spans="1:13" ht="30" x14ac:dyDescent="0.2">
      <c r="A79" t="str">
        <f t="array" ref="A79">IFERROR(IF(VLOOKUP($E79,Avaluacio[],COLUMN(Avaluacio[Codi ítem]),FALSE)=$E79,'1_Plantejament'!$B$5,""),"")</f>
        <v xml:space="preserve">Ajuntament de la Tallada d'Empordà </v>
      </c>
      <c r="B79">
        <f t="array" ref="B79">IFERROR(IF(VLOOKUP($E79,Avaluacio[],COLUMN(Avaluacio[Codi ítem]),FALSE)=$E79,'1_Plantejament'!$B$9,""),"")</f>
        <v>2026</v>
      </c>
      <c r="C79">
        <f t="array" ref="C79">IFERROR(IF(VLOOKUP($E79,Avaluacio[],COLUMN(Avaluacio[Codi ítem]),FALSE)=$E79,'1_Plantejament'!$B$10,""),"")</f>
        <v>46205</v>
      </c>
      <c r="D79" s="6" t="str">
        <f t="array" ref="D79">IFERROR(IF(VLOOKUP($E79,Avaluacio[],COLUMN(Avaluacio[Codi ítem]),FALSE)=$E79,'1_Plantejament'!$B$7,""),"")</f>
        <v>Fase 5</v>
      </c>
      <c r="E79" s="6" t="str">
        <f t="array" ref="E79">IFERROR(INDEX(Avaluacio[Codi ítem],(MATCH(0,INDEX(COUNTIF(E$1:E78,Avaluacio[Codi ítem]),0,0)+INDEX(Avaluacio[Avaluable]="No",0,0),0))),"")</f>
        <v>XGO079</v>
      </c>
      <c r="F79" s="45" t="str">
        <f t="array" ref="F79">IFERROR(VLOOKUP(E79,Avaluacio[],COLUMN(Avaluacio[Ítem]),FALSE),"")</f>
        <v>Licitacions en tràmit (perfil de contractant)</v>
      </c>
      <c r="G79" t="str">
        <f t="array" ref="G79">IFERROR(VLOOKUP(E79,Avaluacio[],COLUMN(Avaluacio[Família]),FALSE),"")</f>
        <v>Contractes, convenis i subvencions</v>
      </c>
      <c r="H79" t="str">
        <f t="array" ref="H79">IFERROR(VLOOKUP(E79,Avaluacio[],COLUMN(Avaluacio[Subfamília]),FALSE),"")</f>
        <v>Relació de contractes</v>
      </c>
      <c r="I79" s="6" t="str">
        <f t="array" ref="I79">IFERROR(VLOOKUP(E79,Avaluacio[],COLUMN(Avaluacio[Contingut]),FALSE),"")</f>
        <v>No</v>
      </c>
      <c r="J79" s="6" t="str">
        <f t="array" ref="J79">IFERROR(VLOOKUP(E79,Avaluacio[],COLUMN(Avaluacio[Actualització]),FALSE),"")</f>
        <v>Sí</v>
      </c>
      <c r="K79" s="6" t="str">
        <f t="array" ref="K79">IFERROR(VLOOKUP(E79,Avaluacio[],COLUMN(#REF!),FALSE),"")</f>
        <v/>
      </c>
      <c r="L79" t="str">
        <f t="array" ref="L79">IFERROR(VLOOKUP(E79,Avaluacio[],COLUMN(Avaluacio[Grau de compliment]),FALSE),"")</f>
        <v>Compleix parcialment</v>
      </c>
      <c r="M79" s="8">
        <f t="array" ref="M79">IFERROR(VLOOKUP(E79,Avaluacio[],COLUMN(Avaluacio[% compliment]),FALSE),"")</f>
        <v>0.5</v>
      </c>
    </row>
    <row r="80" spans="1:13" ht="28.5" x14ac:dyDescent="0.2">
      <c r="A80" t="str">
        <f t="array" ref="A80">IFERROR(IF(VLOOKUP($E80,Avaluacio[],COLUMN(Avaluacio[Codi ítem]),FALSE)=$E80,'1_Plantejament'!$B$5,""),"")</f>
        <v xml:space="preserve">Ajuntament de la Tallada d'Empordà </v>
      </c>
      <c r="B80">
        <f t="array" ref="B80">IFERROR(IF(VLOOKUP($E80,Avaluacio[],COLUMN(Avaluacio[Codi ítem]),FALSE)=$E80,'1_Plantejament'!$B$9,""),"")</f>
        <v>2026</v>
      </c>
      <c r="C80">
        <f t="array" ref="C80">IFERROR(IF(VLOOKUP($E80,Avaluacio[],COLUMN(Avaluacio[Codi ítem]),FALSE)=$E80,'1_Plantejament'!$B$10,""),"")</f>
        <v>46205</v>
      </c>
      <c r="D80" s="6" t="str">
        <f t="array" ref="D80">IFERROR(IF(VLOOKUP($E80,Avaluacio[],COLUMN(Avaluacio[Codi ítem]),FALSE)=$E80,'1_Plantejament'!$B$7,""),"")</f>
        <v>Fase 5</v>
      </c>
      <c r="E80" s="6" t="str">
        <f t="array" ref="E80">IFERROR(INDEX(Avaluacio[Codi ítem],(MATCH(0,INDEX(COUNTIF(E$1:E79,Avaluacio[Codi ítem]),0,0)+INDEX(Avaluacio[Avaluable]="No",0,0),0))),"")</f>
        <v>XGO080</v>
      </c>
      <c r="F80" s="45" t="str">
        <f t="array" ref="F80">IFERROR(VLOOKUP(E80,Avaluacio[],COLUMN(Avaluacio[Ítem]),FALSE),"")</f>
        <v>Contractes programats</v>
      </c>
      <c r="G80" t="str">
        <f t="array" ref="G80">IFERROR(VLOOKUP(E80,Avaluacio[],COLUMN(Avaluacio[Família]),FALSE),"")</f>
        <v>Contractes, convenis i subvencions</v>
      </c>
      <c r="H80" t="str">
        <f t="array" ref="H80">IFERROR(VLOOKUP(E80,Avaluacio[],COLUMN(Avaluacio[Subfamília]),FALSE),"")</f>
        <v>Relació de contractes</v>
      </c>
      <c r="I80" s="6" t="str">
        <f t="array" ref="I80">IFERROR(VLOOKUP(E80,Avaluacio[],COLUMN(Avaluacio[Contingut]),FALSE),"")</f>
        <v>Sí</v>
      </c>
      <c r="J80" s="6" t="str">
        <f t="array" ref="J80">IFERROR(VLOOKUP(E80,Avaluacio[],COLUMN(Avaluacio[Actualització]),FALSE),"")</f>
        <v>Sí</v>
      </c>
      <c r="K80" s="6" t="str">
        <f t="array" ref="K80">IFERROR(VLOOKUP(E80,Avaluacio[],COLUMN(#REF!),FALSE),"")</f>
        <v/>
      </c>
      <c r="L80" t="str">
        <f t="array" ref="L80">IFERROR(VLOOKUP(E80,Avaluacio[],COLUMN(Avaluacio[Grau de compliment]),FALSE),"")</f>
        <v>Compleix totalment</v>
      </c>
      <c r="M80" s="8">
        <f t="array" ref="M80">IFERROR(VLOOKUP(E80,Avaluacio[],COLUMN(Avaluacio[% compliment]),FALSE),"")</f>
        <v>1</v>
      </c>
    </row>
    <row r="81" spans="1:13" ht="30" x14ac:dyDescent="0.2">
      <c r="A81" t="str">
        <f t="array" ref="A81">IFERROR(IF(VLOOKUP($E81,Avaluacio[],COLUMN(Avaluacio[Codi ítem]),FALSE)=$E81,'1_Plantejament'!$B$5,""),"")</f>
        <v xml:space="preserve">Ajuntament de la Tallada d'Empordà </v>
      </c>
      <c r="B81">
        <f t="array" ref="B81">IFERROR(IF(VLOOKUP($E81,Avaluacio[],COLUMN(Avaluacio[Codi ítem]),FALSE)=$E81,'1_Plantejament'!$B$9,""),"")</f>
        <v>2026</v>
      </c>
      <c r="C81">
        <f t="array" ref="C81">IFERROR(IF(VLOOKUP($E81,Avaluacio[],COLUMN(Avaluacio[Codi ítem]),FALSE)=$E81,'1_Plantejament'!$B$10,""),"")</f>
        <v>46205</v>
      </c>
      <c r="D81" s="6" t="str">
        <f t="array" ref="D81">IFERROR(IF(VLOOKUP($E81,Avaluacio[],COLUMN(Avaluacio[Codi ítem]),FALSE)=$E81,'1_Plantejament'!$B$7,""),"")</f>
        <v>Fase 5</v>
      </c>
      <c r="E81" s="6" t="str">
        <f t="array" ref="E81">IFERROR(INDEX(Avaluacio[Codi ítem],(MATCH(0,INDEX(COUNTIF(E$1:E80,Avaluacio[Codi ítem]),0,0)+INDEX(Avaluacio[Avaluable]="No",0,0),0))),"")</f>
        <v>XGO081</v>
      </c>
      <c r="F81" s="45" t="str">
        <f t="array" ref="F81">IFERROR(VLOOKUP(E81,Avaluacio[],COLUMN(Avaluacio[Ítem]),FALSE),"")</f>
        <v>Relació de contractes adjudicats (històric)</v>
      </c>
      <c r="G81" t="str">
        <f t="array" ref="G81">IFERROR(VLOOKUP(E81,Avaluacio[],COLUMN(Avaluacio[Família]),FALSE),"")</f>
        <v>Contractes, convenis i subvencions</v>
      </c>
      <c r="H81" t="str">
        <f t="array" ref="H81">IFERROR(VLOOKUP(E81,Avaluacio[],COLUMN(Avaluacio[Subfamília]),FALSE),"")</f>
        <v>Relació de contractes</v>
      </c>
      <c r="I81" s="6" t="str">
        <f t="array" ref="I81">IFERROR(VLOOKUP(E81,Avaluacio[],COLUMN(Avaluacio[Contingut]),FALSE),"")</f>
        <v>Sí</v>
      </c>
      <c r="J81" s="6" t="str">
        <f t="array" ref="J81">IFERROR(VLOOKUP(E81,Avaluacio[],COLUMN(Avaluacio[Actualització]),FALSE),"")</f>
        <v>Sí</v>
      </c>
      <c r="K81" s="6" t="str">
        <f t="array" ref="K81">IFERROR(VLOOKUP(E81,Avaluacio[],COLUMN(#REF!),FALSE),"")</f>
        <v/>
      </c>
      <c r="L81" t="str">
        <f t="array" ref="L81">IFERROR(VLOOKUP(E81,Avaluacio[],COLUMN(Avaluacio[Grau de compliment]),FALSE),"")</f>
        <v>Compleix totalment</v>
      </c>
      <c r="M81" s="8">
        <f t="array" ref="M81">IFERROR(VLOOKUP(E81,Avaluacio[],COLUMN(Avaluacio[% compliment]),FALSE),"")</f>
        <v>1</v>
      </c>
    </row>
    <row r="82" spans="1:13" ht="30" x14ac:dyDescent="0.2">
      <c r="A82" t="str">
        <f t="array" ref="A82">IFERROR(IF(VLOOKUP($E82,Avaluacio[],COLUMN(Avaluacio[Codi ítem]),FALSE)=$E82,'1_Plantejament'!$B$5,""),"")</f>
        <v xml:space="preserve">Ajuntament de la Tallada d'Empordà </v>
      </c>
      <c r="B82">
        <f t="array" ref="B82">IFERROR(IF(VLOOKUP($E82,Avaluacio[],COLUMN(Avaluacio[Codi ítem]),FALSE)=$E82,'1_Plantejament'!$B$9,""),"")</f>
        <v>2026</v>
      </c>
      <c r="C82">
        <f t="array" ref="C82">IFERROR(IF(VLOOKUP($E82,Avaluacio[],COLUMN(Avaluacio[Codi ítem]),FALSE)=$E82,'1_Plantejament'!$B$10,""),"")</f>
        <v>46205</v>
      </c>
      <c r="D82" s="6" t="str">
        <f t="array" ref="D82">IFERROR(IF(VLOOKUP($E82,Avaluacio[],COLUMN(Avaluacio[Codi ítem]),FALSE)=$E82,'1_Plantejament'!$B$7,""),"")</f>
        <v>Fase 5</v>
      </c>
      <c r="E82" s="6" t="str">
        <f t="array" ref="E82">IFERROR(INDEX(Avaluacio[Codi ítem],(MATCH(0,INDEX(COUNTIF(E$1:E81,Avaluacio[Codi ítem]),0,0)+INDEX(Avaluacio[Avaluable]="No",0,0),0))),"")</f>
        <v>XGO082</v>
      </c>
      <c r="F82" s="45" t="str">
        <f t="array" ref="F82">IFERROR(VLOOKUP(E82,Avaluacio[],COLUMN(Avaluacio[Ítem]),FALSE),"")</f>
        <v>Relació de contractes menors (històric)</v>
      </c>
      <c r="G82" t="str">
        <f t="array" ref="G82">IFERROR(VLOOKUP(E82,Avaluacio[],COLUMN(Avaluacio[Família]),FALSE),"")</f>
        <v>Contractes, convenis i subvencions</v>
      </c>
      <c r="H82" t="str">
        <f t="array" ref="H82">IFERROR(VLOOKUP(E82,Avaluacio[],COLUMN(Avaluacio[Subfamília]),FALSE),"")</f>
        <v>Relació de contractes</v>
      </c>
      <c r="I82" s="6" t="str">
        <f t="array" ref="I82">IFERROR(VLOOKUP(E82,Avaluacio[],COLUMN(Avaluacio[Contingut]),FALSE),"")</f>
        <v>Sí</v>
      </c>
      <c r="J82" s="6" t="str">
        <f t="array" ref="J82">IFERROR(VLOOKUP(E82,Avaluacio[],COLUMN(Avaluacio[Actualització]),FALSE),"")</f>
        <v>Sí</v>
      </c>
      <c r="K82" s="6" t="str">
        <f t="array" ref="K82">IFERROR(VLOOKUP(E82,Avaluacio[],COLUMN(#REF!),FALSE),"")</f>
        <v/>
      </c>
      <c r="L82" t="str">
        <f t="array" ref="L82">IFERROR(VLOOKUP(E82,Avaluacio[],COLUMN(Avaluacio[Grau de compliment]),FALSE),"")</f>
        <v>Compleix totalment</v>
      </c>
      <c r="M82" s="8">
        <f t="array" ref="M82">IFERROR(VLOOKUP(E82,Avaluacio[],COLUMN(Avaluacio[% compliment]),FALSE),"")</f>
        <v>1</v>
      </c>
    </row>
    <row r="83" spans="1:13" ht="28.5" x14ac:dyDescent="0.2">
      <c r="A83" t="str">
        <f t="array" ref="A83">IFERROR(IF(VLOOKUP($E83,Avaluacio[],COLUMN(Avaluacio[Codi ítem]),FALSE)=$E83,'1_Plantejament'!$B$5,""),"")</f>
        <v xml:space="preserve">Ajuntament de la Tallada d'Empordà </v>
      </c>
      <c r="B83">
        <f t="array" ref="B83">IFERROR(IF(VLOOKUP($E83,Avaluacio[],COLUMN(Avaluacio[Codi ítem]),FALSE)=$E83,'1_Plantejament'!$B$9,""),"")</f>
        <v>2026</v>
      </c>
      <c r="C83">
        <f t="array" ref="C83">IFERROR(IF(VLOOKUP($E83,Avaluacio[],COLUMN(Avaluacio[Codi ítem]),FALSE)=$E83,'1_Plantejament'!$B$10,""),"")</f>
        <v>46205</v>
      </c>
      <c r="D83" s="6" t="str">
        <f t="array" ref="D83">IFERROR(IF(VLOOKUP($E83,Avaluacio[],COLUMN(Avaluacio[Codi ítem]),FALSE)=$E83,'1_Plantejament'!$B$7,""),"")</f>
        <v>Fase 5</v>
      </c>
      <c r="E83" s="6" t="str">
        <f t="array" ref="E83">IFERROR(INDEX(Avaluacio[Codi ítem],(MATCH(0,INDEX(COUNTIF(E$1:E82,Avaluacio[Codi ítem]),0,0)+INDEX(Avaluacio[Avaluable]="No",0,0),0))),"")</f>
        <v>XGO083</v>
      </c>
      <c r="F83" s="45" t="str">
        <f t="array" ref="F83">IFERROR(VLOOKUP(E83,Avaluacio[],COLUMN(Avaluacio[Ítem]),FALSE),"")</f>
        <v>Modificacions de contractes</v>
      </c>
      <c r="G83" t="str">
        <f t="array" ref="G83">IFERROR(VLOOKUP(E83,Avaluacio[],COLUMN(Avaluacio[Família]),FALSE),"")</f>
        <v>Contractes, convenis i subvencions</v>
      </c>
      <c r="H83" t="str">
        <f t="array" ref="H83">IFERROR(VLOOKUP(E83,Avaluacio[],COLUMN(Avaluacio[Subfamília]),FALSE),"")</f>
        <v>Relació de contractes</v>
      </c>
      <c r="I83" s="6" t="str">
        <f t="array" ref="I83">IFERROR(VLOOKUP(E83,Avaluacio[],COLUMN(Avaluacio[Contingut]),FALSE),"")</f>
        <v>Sí</v>
      </c>
      <c r="J83" s="6" t="str">
        <f t="array" ref="J83">IFERROR(VLOOKUP(E83,Avaluacio[],COLUMN(Avaluacio[Actualització]),FALSE),"")</f>
        <v>Sí</v>
      </c>
      <c r="K83" s="6" t="str">
        <f t="array" ref="K83">IFERROR(VLOOKUP(E83,Avaluacio[],COLUMN(#REF!),FALSE),"")</f>
        <v/>
      </c>
      <c r="L83" t="str">
        <f t="array" ref="L83">IFERROR(VLOOKUP(E83,Avaluacio[],COLUMN(Avaluacio[Grau de compliment]),FALSE),"")</f>
        <v>Compleix totalment</v>
      </c>
      <c r="M83" s="8">
        <f t="array" ref="M83">IFERROR(VLOOKUP(E83,Avaluacio[],COLUMN(Avaluacio[% compliment]),FALSE),"")</f>
        <v>1</v>
      </c>
    </row>
    <row r="84" spans="1:13" ht="28.5" x14ac:dyDescent="0.2">
      <c r="A84" t="str">
        <f t="array" ref="A84">IFERROR(IF(VLOOKUP($E84,Avaluacio[],COLUMN(Avaluacio[Codi ítem]),FALSE)=$E84,'1_Plantejament'!$B$5,""),"")</f>
        <v xml:space="preserve">Ajuntament de la Tallada d'Empordà </v>
      </c>
      <c r="B84">
        <f t="array" ref="B84">IFERROR(IF(VLOOKUP($E84,Avaluacio[],COLUMN(Avaluacio[Codi ítem]),FALSE)=$E84,'1_Plantejament'!$B$9,""),"")</f>
        <v>2026</v>
      </c>
      <c r="C84">
        <f t="array" ref="C84">IFERROR(IF(VLOOKUP($E84,Avaluacio[],COLUMN(Avaluacio[Codi ítem]),FALSE)=$E84,'1_Plantejament'!$B$10,""),"")</f>
        <v>46205</v>
      </c>
      <c r="D84" s="6" t="str">
        <f t="array" ref="D84">IFERROR(IF(VLOOKUP($E84,Avaluacio[],COLUMN(Avaluacio[Codi ítem]),FALSE)=$E84,'1_Plantejament'!$B$7,""),"")</f>
        <v>Fase 5</v>
      </c>
      <c r="E84" s="6" t="str">
        <f t="array" ref="E84">IFERROR(INDEX(Avaluacio[Codi ítem],(MATCH(0,INDEX(COUNTIF(E$1:E83,Avaluacio[Codi ítem]),0,0)+INDEX(Avaluacio[Avaluable]="No",0,0),0))),"")</f>
        <v>XGO084</v>
      </c>
      <c r="F84" s="45" t="str">
        <f t="array" ref="F84">IFERROR(VLOOKUP(E84,Avaluacio[],COLUMN(Avaluacio[Ítem]),FALSE),"")</f>
        <v>Registre de factures</v>
      </c>
      <c r="G84" t="str">
        <f t="array" ref="G84">IFERROR(VLOOKUP(E84,Avaluacio[],COLUMN(Avaluacio[Família]),FALSE),"")</f>
        <v>Contractes, convenis i subvencions</v>
      </c>
      <c r="H84" t="str">
        <f t="array" ref="H84">IFERROR(VLOOKUP(E84,Avaluacio[],COLUMN(Avaluacio[Subfamília]),FALSE),"")</f>
        <v>Relació de contractes</v>
      </c>
      <c r="I84" s="6" t="str">
        <f t="array" ref="I84">IFERROR(VLOOKUP(E84,Avaluacio[],COLUMN(Avaluacio[Contingut]),FALSE),"")</f>
        <v>Sí</v>
      </c>
      <c r="J84" s="6" t="str">
        <f t="array" ref="J84">IFERROR(VLOOKUP(E84,Avaluacio[],COLUMN(Avaluacio[Actualització]),FALSE),"")</f>
        <v>Sí</v>
      </c>
      <c r="K84" s="6" t="str">
        <f t="array" ref="K84">IFERROR(VLOOKUP(E84,Avaluacio[],COLUMN(#REF!),FALSE),"")</f>
        <v/>
      </c>
      <c r="L84" t="str">
        <f t="array" ref="L84">IFERROR(VLOOKUP(E84,Avaluacio[],COLUMN(Avaluacio[Grau de compliment]),FALSE),"")</f>
        <v>Compleix totalment</v>
      </c>
      <c r="M84" s="8">
        <f t="array" ref="M84">IFERROR(VLOOKUP(E84,Avaluacio[],COLUMN(Avaluacio[% compliment]),FALSE),"")</f>
        <v>1</v>
      </c>
    </row>
    <row r="85" spans="1:13" ht="45" x14ac:dyDescent="0.2">
      <c r="A85" t="str">
        <f t="array" ref="A85">IFERROR(IF(VLOOKUP($E85,Avaluacio[],COLUMN(Avaluacio[Codi ítem]),FALSE)=$E85,'1_Plantejament'!$B$5,""),"")</f>
        <v xml:space="preserve">Ajuntament de la Tallada d'Empordà </v>
      </c>
      <c r="B85">
        <f t="array" ref="B85">IFERROR(IF(VLOOKUP($E85,Avaluacio[],COLUMN(Avaluacio[Codi ítem]),FALSE)=$E85,'1_Plantejament'!$B$9,""),"")</f>
        <v>2026</v>
      </c>
      <c r="C85">
        <f t="array" ref="C85">IFERROR(IF(VLOOKUP($E85,Avaluacio[],COLUMN(Avaluacio[Codi ítem]),FALSE)=$E85,'1_Plantejament'!$B$10,""),"")</f>
        <v>46205</v>
      </c>
      <c r="D85" s="6" t="str">
        <f t="array" ref="D85">IFERROR(IF(VLOOKUP($E85,Avaluacio[],COLUMN(Avaluacio[Codi ítem]),FALSE)=$E85,'1_Plantejament'!$B$7,""),"")</f>
        <v>Fase 5</v>
      </c>
      <c r="E85" s="6" t="str">
        <f t="array" ref="E85">IFERROR(INDEX(Avaluacio[Codi ítem],(MATCH(0,INDEX(COUNTIF(E$1:E84,Avaluacio[Codi ítem]),0,0)+INDEX(Avaluacio[Avaluable]="No",0,0),0))),"")</f>
        <v>XGO085</v>
      </c>
      <c r="F85" s="45" t="str">
        <f t="array" ref="F85">IFERROR(VLOOKUP(E85,Avaluacio[],COLUMN(Avaluacio[Ítem]),FALSE),"")</f>
        <v>Relació de proveïdors, adjudicataris i/o contractistes</v>
      </c>
      <c r="G85" t="str">
        <f t="array" ref="G85">IFERROR(VLOOKUP(E85,Avaluacio[],COLUMN(Avaluacio[Família]),FALSE),"")</f>
        <v>Contractes, convenis i subvencions</v>
      </c>
      <c r="H85" t="str">
        <f t="array" ref="H85">IFERROR(VLOOKUP(E85,Avaluacio[],COLUMN(Avaluacio[Subfamília]),FALSE),"")</f>
        <v>Relació de contractes</v>
      </c>
      <c r="I85" s="6" t="str">
        <f t="array" ref="I85">IFERROR(VLOOKUP(E85,Avaluacio[],COLUMN(Avaluacio[Contingut]),FALSE),"")</f>
        <v>Sí</v>
      </c>
      <c r="J85" s="6" t="str">
        <f t="array" ref="J85">IFERROR(VLOOKUP(E85,Avaluacio[],COLUMN(Avaluacio[Actualització]),FALSE),"")</f>
        <v>Sí</v>
      </c>
      <c r="K85" s="6" t="str">
        <f t="array" ref="K85">IFERROR(VLOOKUP(E85,Avaluacio[],COLUMN(#REF!),FALSE),"")</f>
        <v/>
      </c>
      <c r="L85" t="str">
        <f t="array" ref="L85">IFERROR(VLOOKUP(E85,Avaluacio[],COLUMN(Avaluacio[Grau de compliment]),FALSE),"")</f>
        <v>Compleix totalment</v>
      </c>
      <c r="M85" s="8">
        <f t="array" ref="M85">IFERROR(VLOOKUP(E85,Avaluacio[],COLUMN(Avaluacio[% compliment]),FALSE),"")</f>
        <v>1</v>
      </c>
    </row>
    <row r="86" spans="1:13" ht="28.5" x14ac:dyDescent="0.2">
      <c r="A86" t="str">
        <f t="array" ref="A86">IFERROR(IF(VLOOKUP($E86,Avaluacio[],COLUMN(Avaluacio[Codi ítem]),FALSE)=$E86,'1_Plantejament'!$B$5,""),"")</f>
        <v xml:space="preserve">Ajuntament de la Tallada d'Empordà </v>
      </c>
      <c r="B86">
        <f t="array" ref="B86">IFERROR(IF(VLOOKUP($E86,Avaluacio[],COLUMN(Avaluacio[Codi ítem]),FALSE)=$E86,'1_Plantejament'!$B$9,""),"")</f>
        <v>2026</v>
      </c>
      <c r="C86">
        <f t="array" ref="C86">IFERROR(IF(VLOOKUP($E86,Avaluacio[],COLUMN(Avaluacio[Codi ítem]),FALSE)=$E86,'1_Plantejament'!$B$10,""),"")</f>
        <v>46205</v>
      </c>
      <c r="D86" s="6" t="str">
        <f t="array" ref="D86">IFERROR(IF(VLOOKUP($E86,Avaluacio[],COLUMN(Avaluacio[Codi ítem]),FALSE)=$E86,'1_Plantejament'!$B$7,""),"")</f>
        <v>Fase 5</v>
      </c>
      <c r="E86" s="6" t="str">
        <f t="array" ref="E86">IFERROR(INDEX(Avaluacio[Codi ítem],(MATCH(0,INDEX(COUNTIF(E$1:E85,Avaluacio[Codi ítem]),0,0)+INDEX(Avaluacio[Avaluable]="No",0,0),0))),"")</f>
        <v>XGO086</v>
      </c>
      <c r="F86" s="45" t="str">
        <f t="array" ref="F86">IFERROR(VLOOKUP(E86,Avaluacio[],COLUMN(Avaluacio[Ítem]),FALSE),"")</f>
        <v>Òrgans de contractació</v>
      </c>
      <c r="G86" t="str">
        <f t="array" ref="G86">IFERROR(VLOOKUP(E86,Avaluacio[],COLUMN(Avaluacio[Família]),FALSE),"")</f>
        <v>Contractes, convenis i subvencions</v>
      </c>
      <c r="H86" t="str">
        <f t="array" ref="H86">IFERROR(VLOOKUP(E86,Avaluacio[],COLUMN(Avaluacio[Subfamília]),FALSE),"")</f>
        <v>Informació de la contractació pública</v>
      </c>
      <c r="I86" s="6" t="str">
        <f t="array" ref="I86">IFERROR(VLOOKUP(E86,Avaluacio[],COLUMN(Avaluacio[Contingut]),FALSE),"")</f>
        <v>Sí</v>
      </c>
      <c r="J86" s="6" t="str">
        <f t="array" ref="J86">IFERROR(VLOOKUP(E86,Avaluacio[],COLUMN(Avaluacio[Actualització]),FALSE),"")</f>
        <v>Sí</v>
      </c>
      <c r="K86" s="6" t="str">
        <f t="array" ref="K86">IFERROR(VLOOKUP(E86,Avaluacio[],COLUMN(#REF!),FALSE),"")</f>
        <v/>
      </c>
      <c r="L86" t="str">
        <f t="array" ref="L86">IFERROR(VLOOKUP(E86,Avaluacio[],COLUMN(Avaluacio[Grau de compliment]),FALSE),"")</f>
        <v>Compleix totalment</v>
      </c>
      <c r="M86" s="8">
        <f t="array" ref="M86">IFERROR(VLOOKUP(E86,Avaluacio[],COLUMN(Avaluacio[% compliment]),FALSE),"")</f>
        <v>1</v>
      </c>
    </row>
    <row r="87" spans="1:13" ht="28.5" x14ac:dyDescent="0.2">
      <c r="A87" t="str">
        <f t="array" ref="A87">IFERROR(IF(VLOOKUP($E87,Avaluacio[],COLUMN(Avaluacio[Codi ítem]),FALSE)=$E87,'1_Plantejament'!$B$5,""),"")</f>
        <v xml:space="preserve">Ajuntament de la Tallada d'Empordà </v>
      </c>
      <c r="B87">
        <f t="array" ref="B87">IFERROR(IF(VLOOKUP($E87,Avaluacio[],COLUMN(Avaluacio[Codi ítem]),FALSE)=$E87,'1_Plantejament'!$B$9,""),"")</f>
        <v>2026</v>
      </c>
      <c r="C87">
        <f t="array" ref="C87">IFERROR(IF(VLOOKUP($E87,Avaluacio[],COLUMN(Avaluacio[Codi ítem]),FALSE)=$E87,'1_Plantejament'!$B$10,""),"")</f>
        <v>46205</v>
      </c>
      <c r="D87" s="6" t="str">
        <f t="array" ref="D87">IFERROR(IF(VLOOKUP($E87,Avaluacio[],COLUMN(Avaluacio[Codi ítem]),FALSE)=$E87,'1_Plantejament'!$B$7,""),"")</f>
        <v>Fase 5</v>
      </c>
      <c r="E87" s="6" t="str">
        <f t="array" ref="E87">IFERROR(INDEX(Avaluacio[Codi ítem],(MATCH(0,INDEX(COUNTIF(E$1:E86,Avaluacio[Codi ítem]),0,0)+INDEX(Avaluacio[Avaluable]="No",0,0),0))),"")</f>
        <v>XGO087</v>
      </c>
      <c r="F87" s="45" t="str">
        <f t="array" ref="F87">IFERROR(VLOOKUP(E87,Avaluacio[],COLUMN(Avaluacio[Ítem]),FALSE),"")</f>
        <v>Registre de licitadors</v>
      </c>
      <c r="G87" t="str">
        <f t="array" ref="G87">IFERROR(VLOOKUP(E87,Avaluacio[],COLUMN(Avaluacio[Família]),FALSE),"")</f>
        <v>Contractes, convenis i subvencions</v>
      </c>
      <c r="H87" t="str">
        <f t="array" ref="H87">IFERROR(VLOOKUP(E87,Avaluacio[],COLUMN(Avaluacio[Subfamília]),FALSE),"")</f>
        <v>Informació de la contractació pública</v>
      </c>
      <c r="I87" s="6" t="str">
        <f t="array" ref="I87">IFERROR(VLOOKUP(E87,Avaluacio[],COLUMN(Avaluacio[Contingut]),FALSE),"")</f>
        <v>Sí</v>
      </c>
      <c r="J87" s="6" t="str">
        <f t="array" ref="J87">IFERROR(VLOOKUP(E87,Avaluacio[],COLUMN(Avaluacio[Actualització]),FALSE),"")</f>
        <v>Sí</v>
      </c>
      <c r="K87" s="6" t="str">
        <f t="array" ref="K87">IFERROR(VLOOKUP(E87,Avaluacio[],COLUMN(#REF!),FALSE),"")</f>
        <v/>
      </c>
      <c r="L87" t="str">
        <f t="array" ref="L87">IFERROR(VLOOKUP(E87,Avaluacio[],COLUMN(Avaluacio[Grau de compliment]),FALSE),"")</f>
        <v>Compleix totalment</v>
      </c>
      <c r="M87" s="8">
        <f t="array" ref="M87">IFERROR(VLOOKUP(E87,Avaluacio[],COLUMN(Avaluacio[% compliment]),FALSE),"")</f>
        <v>1</v>
      </c>
    </row>
    <row r="88" spans="1:13" ht="30" x14ac:dyDescent="0.2">
      <c r="A88" t="str">
        <f t="array" ref="A88">IFERROR(IF(VLOOKUP($E88,Avaluacio[],COLUMN(Avaluacio[Codi ítem]),FALSE)=$E88,'1_Plantejament'!$B$5,""),"")</f>
        <v xml:space="preserve">Ajuntament de la Tallada d'Empordà </v>
      </c>
      <c r="B88">
        <f t="array" ref="B88">IFERROR(IF(VLOOKUP($E88,Avaluacio[],COLUMN(Avaluacio[Codi ítem]),FALSE)=$E88,'1_Plantejament'!$B$9,""),"")</f>
        <v>2026</v>
      </c>
      <c r="C88">
        <f t="array" ref="C88">IFERROR(IF(VLOOKUP($E88,Avaluacio[],COLUMN(Avaluacio[Codi ítem]),FALSE)=$E88,'1_Plantejament'!$B$10,""),"")</f>
        <v>46205</v>
      </c>
      <c r="D88" s="6" t="str">
        <f t="array" ref="D88">IFERROR(IF(VLOOKUP($E88,Avaluacio[],COLUMN(Avaluacio[Codi ítem]),FALSE)=$E88,'1_Plantejament'!$B$7,""),"")</f>
        <v>Fase 5</v>
      </c>
      <c r="E88" s="6" t="str">
        <f t="array" ref="E88">IFERROR(INDEX(Avaluacio[Codi ítem],(MATCH(0,INDEX(COUNTIF(E$1:E87,Avaluacio[Codi ítem]),0,0)+INDEX(Avaluacio[Avaluable]="No",0,0),0))),"")</f>
        <v>XGO088</v>
      </c>
      <c r="F88" s="45" t="str">
        <f t="array" ref="F88">IFERROR(VLOOKUP(E88,Avaluacio[],COLUMN(Avaluacio[Ítem]),FALSE),"")</f>
        <v>Registre d'empreses classificades</v>
      </c>
      <c r="G88" t="str">
        <f t="array" ref="G88">IFERROR(VLOOKUP(E88,Avaluacio[],COLUMN(Avaluacio[Família]),FALSE),"")</f>
        <v>Contractes, convenis i subvencions</v>
      </c>
      <c r="H88" t="str">
        <f t="array" ref="H88">IFERROR(VLOOKUP(E88,Avaluacio[],COLUMN(Avaluacio[Subfamília]),FALSE),"")</f>
        <v>Informació de la contractació pública</v>
      </c>
      <c r="I88" s="6" t="str">
        <f t="array" ref="I88">IFERROR(VLOOKUP(E88,Avaluacio[],COLUMN(Avaluacio[Contingut]),FALSE),"")</f>
        <v>Sí</v>
      </c>
      <c r="J88" s="6" t="str">
        <f t="array" ref="J88">IFERROR(VLOOKUP(E88,Avaluacio[],COLUMN(Avaluacio[Actualització]),FALSE),"")</f>
        <v>Sí</v>
      </c>
      <c r="K88" s="6" t="str">
        <f t="array" ref="K88">IFERROR(VLOOKUP(E88,Avaluacio[],COLUMN(#REF!),FALSE),"")</f>
        <v/>
      </c>
      <c r="L88" t="str">
        <f t="array" ref="L88">IFERROR(VLOOKUP(E88,Avaluacio[],COLUMN(Avaluacio[Grau de compliment]),FALSE),"")</f>
        <v>Compleix totalment</v>
      </c>
      <c r="M88" s="8">
        <f t="array" ref="M88">IFERROR(VLOOKUP(E88,Avaluacio[],COLUMN(Avaluacio[% compliment]),FALSE),"")</f>
        <v>1</v>
      </c>
    </row>
    <row r="89" spans="1:13" ht="30" x14ac:dyDescent="0.2">
      <c r="A89" t="str">
        <f t="array" ref="A89">IFERROR(IF(VLOOKUP($E89,Avaluacio[],COLUMN(Avaluacio[Codi ítem]),FALSE)=$E89,'1_Plantejament'!$B$5,""),"")</f>
        <v xml:space="preserve">Ajuntament de la Tallada d'Empordà </v>
      </c>
      <c r="B89">
        <f t="array" ref="B89">IFERROR(IF(VLOOKUP($E89,Avaluacio[],COLUMN(Avaluacio[Codi ítem]),FALSE)=$E89,'1_Plantejament'!$B$9,""),"")</f>
        <v>2026</v>
      </c>
      <c r="C89">
        <f t="array" ref="C89">IFERROR(IF(VLOOKUP($E89,Avaluacio[],COLUMN(Avaluacio[Codi ítem]),FALSE)=$E89,'1_Plantejament'!$B$10,""),"")</f>
        <v>46205</v>
      </c>
      <c r="D89" s="6" t="str">
        <f t="array" ref="D89">IFERROR(IF(VLOOKUP($E89,Avaluacio[],COLUMN(Avaluacio[Codi ítem]),FALSE)=$E89,'1_Plantejament'!$B$7,""),"")</f>
        <v>Fase 5</v>
      </c>
      <c r="E89" s="6" t="str">
        <f t="array" ref="E89">IFERROR(INDEX(Avaluacio[Codi ítem],(MATCH(0,INDEX(COUNTIF(E$1:E88,Avaluacio[Codi ítem]),0,0)+INDEX(Avaluacio[Avaluable]="No",0,0),0))),"")</f>
        <v>XGO089</v>
      </c>
      <c r="F89" s="45" t="str">
        <f t="array" ref="F89">IFERROR(VLOOKUP(E89,Avaluacio[],COLUMN(Avaluacio[Ítem]),FALSE),"")</f>
        <v>Criteris interpretatius de contractació</v>
      </c>
      <c r="G89" t="str">
        <f t="array" ref="G89">IFERROR(VLOOKUP(E89,Avaluacio[],COLUMN(Avaluacio[Família]),FALSE),"")</f>
        <v>Contractes, convenis i subvencions</v>
      </c>
      <c r="H89" t="str">
        <f t="array" ref="H89">IFERROR(VLOOKUP(E89,Avaluacio[],COLUMN(Avaluacio[Subfamília]),FALSE),"")</f>
        <v>Informació de la contractació pública</v>
      </c>
      <c r="I89" s="6" t="str">
        <f t="array" ref="I89">IFERROR(VLOOKUP(E89,Avaluacio[],COLUMN(Avaluacio[Contingut]),FALSE),"")</f>
        <v>Sí</v>
      </c>
      <c r="J89" s="6" t="str">
        <f t="array" ref="J89">IFERROR(VLOOKUP(E89,Avaluacio[],COLUMN(Avaluacio[Actualització]),FALSE),"")</f>
        <v>Sí</v>
      </c>
      <c r="K89" s="6" t="str">
        <f t="array" ref="K89">IFERROR(VLOOKUP(E89,Avaluacio[],COLUMN(#REF!),FALSE),"")</f>
        <v/>
      </c>
      <c r="L89" t="str">
        <f t="array" ref="L89">IFERROR(VLOOKUP(E89,Avaluacio[],COLUMN(Avaluacio[Grau de compliment]),FALSE),"")</f>
        <v>Compleix totalment</v>
      </c>
      <c r="M89" s="8">
        <f t="array" ref="M89">IFERROR(VLOOKUP(E89,Avaluacio[],COLUMN(Avaluacio[% compliment]),FALSE),"")</f>
        <v>1</v>
      </c>
    </row>
    <row r="90" spans="1:13" ht="30" x14ac:dyDescent="0.2">
      <c r="A90" t="str">
        <f t="array" ref="A90">IFERROR(IF(VLOOKUP($E90,Avaluacio[],COLUMN(Avaluacio[Codi ítem]),FALSE)=$E90,'1_Plantejament'!$B$5,""),"")</f>
        <v xml:space="preserve">Ajuntament de la Tallada d'Empordà </v>
      </c>
      <c r="B90">
        <f t="array" ref="B90">IFERROR(IF(VLOOKUP($E90,Avaluacio[],COLUMN(Avaluacio[Codi ítem]),FALSE)=$E90,'1_Plantejament'!$B$9,""),"")</f>
        <v>2026</v>
      </c>
      <c r="C90">
        <f t="array" ref="C90">IFERROR(IF(VLOOKUP($E90,Avaluacio[],COLUMN(Avaluacio[Codi ítem]),FALSE)=$E90,'1_Plantejament'!$B$10,""),"")</f>
        <v>46205</v>
      </c>
      <c r="D90" s="6" t="str">
        <f t="array" ref="D90">IFERROR(IF(VLOOKUP($E90,Avaluacio[],COLUMN(Avaluacio[Codi ítem]),FALSE)=$E90,'1_Plantejament'!$B$7,""),"")</f>
        <v>Fase 5</v>
      </c>
      <c r="E90" s="6" t="str">
        <f t="array" ref="E90">IFERROR(INDEX(Avaluacio[Codi ítem],(MATCH(0,INDEX(COUNTIF(E$1:E89,Avaluacio[Codi ítem]),0,0)+INDEX(Avaluacio[Avaluable]="No",0,0),0))),"")</f>
        <v>XGO090</v>
      </c>
      <c r="F90" s="45" t="str">
        <f t="array" ref="F90">IFERROR(VLOOKUP(E90,Avaluacio[],COLUMN(Avaluacio[Ítem]),FALSE),"")</f>
        <v>Consultes més freqüents sobre contractació</v>
      </c>
      <c r="G90" t="str">
        <f t="array" ref="G90">IFERROR(VLOOKUP(E90,Avaluacio[],COLUMN(Avaluacio[Família]),FALSE),"")</f>
        <v>Contractes, convenis i subvencions</v>
      </c>
      <c r="H90" t="str">
        <f t="array" ref="H90">IFERROR(VLOOKUP(E90,Avaluacio[],COLUMN(Avaluacio[Subfamília]),FALSE),"")</f>
        <v>Informació de la contractació pública</v>
      </c>
      <c r="I90" s="6" t="str">
        <f t="array" ref="I90">IFERROR(VLOOKUP(E90,Avaluacio[],COLUMN(Avaluacio[Contingut]),FALSE),"")</f>
        <v>Sí</v>
      </c>
      <c r="J90" s="6" t="str">
        <f t="array" ref="J90">IFERROR(VLOOKUP(E90,Avaluacio[],COLUMN(Avaluacio[Actualització]),FALSE),"")</f>
        <v>Sí</v>
      </c>
      <c r="K90" s="6" t="str">
        <f t="array" ref="K90">IFERROR(VLOOKUP(E90,Avaluacio[],COLUMN(#REF!),FALSE),"")</f>
        <v/>
      </c>
      <c r="L90" t="str">
        <f t="array" ref="L90">IFERROR(VLOOKUP(E90,Avaluacio[],COLUMN(Avaluacio[Grau de compliment]),FALSE),"")</f>
        <v>Compleix totalment</v>
      </c>
      <c r="M90" s="8">
        <f t="array" ref="M90">IFERROR(VLOOKUP(E90,Avaluacio[],COLUMN(Avaluacio[% compliment]),FALSE),"")</f>
        <v>1</v>
      </c>
    </row>
    <row r="91" spans="1:13" ht="60" x14ac:dyDescent="0.2">
      <c r="A91" t="str">
        <f t="array" ref="A91">IFERROR(IF(VLOOKUP($E91,Avaluacio[],COLUMN(Avaluacio[Codi ítem]),FALSE)=$E91,'1_Plantejament'!$B$5,""),"")</f>
        <v xml:space="preserve">Ajuntament de la Tallada d'Empordà </v>
      </c>
      <c r="B91">
        <f t="array" ref="B91">IFERROR(IF(VLOOKUP($E91,Avaluacio[],COLUMN(Avaluacio[Codi ítem]),FALSE)=$E91,'1_Plantejament'!$B$9,""),"")</f>
        <v>2026</v>
      </c>
      <c r="C91">
        <f t="array" ref="C91">IFERROR(IF(VLOOKUP($E91,Avaluacio[],COLUMN(Avaluacio[Codi ítem]),FALSE)=$E91,'1_Plantejament'!$B$10,""),"")</f>
        <v>46205</v>
      </c>
      <c r="D91" s="6" t="str">
        <f t="array" ref="D91">IFERROR(IF(VLOOKUP($E91,Avaluacio[],COLUMN(Avaluacio[Codi ítem]),FALSE)=$E91,'1_Plantejament'!$B$7,""),"")</f>
        <v>Fase 5</v>
      </c>
      <c r="E91" s="6" t="str">
        <f t="array" ref="E91">IFERROR(INDEX(Avaluacio[Codi ítem],(MATCH(0,INDEX(COUNTIF(E$1:E90,Avaluacio[Codi ítem]),0,0)+INDEX(Avaluacio[Avaluable]="No",0,0),0))),"")</f>
        <v>XGO091</v>
      </c>
      <c r="F91" s="45" t="str">
        <f t="array" ref="F91">IFERROR(VLOOKUP(E91,Avaluacio[],COLUMN(Avaluacio[Ítem]),FALSE),"")</f>
        <v>Resolucions de recursos, actes de desistiment, renúncia i resolució de contractes</v>
      </c>
      <c r="G91" t="str">
        <f t="array" ref="G91">IFERROR(VLOOKUP(E91,Avaluacio[],COLUMN(Avaluacio[Família]),FALSE),"")</f>
        <v>Contractes, convenis i subvencions</v>
      </c>
      <c r="H91" t="str">
        <f t="array" ref="H91">IFERROR(VLOOKUP(E91,Avaluacio[],COLUMN(Avaluacio[Subfamília]),FALSE),"")</f>
        <v>Informació de la contractació pública</v>
      </c>
      <c r="I91" s="6" t="str">
        <f t="array" ref="I91">IFERROR(VLOOKUP(E91,Avaluacio[],COLUMN(Avaluacio[Contingut]),FALSE),"")</f>
        <v>Sí</v>
      </c>
      <c r="J91" s="6" t="str">
        <f t="array" ref="J91">IFERROR(VLOOKUP(E91,Avaluacio[],COLUMN(Avaluacio[Actualització]),FALSE),"")</f>
        <v>Sí</v>
      </c>
      <c r="K91" s="6" t="str">
        <f t="array" ref="K91">IFERROR(VLOOKUP(E91,Avaluacio[],COLUMN(#REF!),FALSE),"")</f>
        <v/>
      </c>
      <c r="L91" t="str">
        <f t="array" ref="L91">IFERROR(VLOOKUP(E91,Avaluacio[],COLUMN(Avaluacio[Grau de compliment]),FALSE),"")</f>
        <v>Compleix totalment</v>
      </c>
      <c r="M91" s="8">
        <f t="array" ref="M91">IFERROR(VLOOKUP(E91,Avaluacio[],COLUMN(Avaluacio[% compliment]),FALSE),"")</f>
        <v>1</v>
      </c>
    </row>
    <row r="92" spans="1:13" ht="45" x14ac:dyDescent="0.2">
      <c r="A92" t="str">
        <f t="array" ref="A92">IFERROR(IF(VLOOKUP($E92,Avaluacio[],COLUMN(Avaluacio[Codi ítem]),FALSE)=$E92,'1_Plantejament'!$B$5,""),"")</f>
        <v xml:space="preserve">Ajuntament de la Tallada d'Empordà </v>
      </c>
      <c r="B92">
        <f t="array" ref="B92">IFERROR(IF(VLOOKUP($E92,Avaluacio[],COLUMN(Avaluacio[Codi ítem]),FALSE)=$E92,'1_Plantejament'!$B$9,""),"")</f>
        <v>2026</v>
      </c>
      <c r="C92">
        <f t="array" ref="C92">IFERROR(IF(VLOOKUP($E92,Avaluacio[],COLUMN(Avaluacio[Codi ítem]),FALSE)=$E92,'1_Plantejament'!$B$10,""),"")</f>
        <v>46205</v>
      </c>
      <c r="D92" s="6" t="str">
        <f t="array" ref="D92">IFERROR(IF(VLOOKUP($E92,Avaluacio[],COLUMN(Avaluacio[Codi ítem]),FALSE)=$E92,'1_Plantejament'!$B$7,""),"")</f>
        <v>Fase 5</v>
      </c>
      <c r="E92" s="6" t="str">
        <f t="array" ref="E92">IFERROR(INDEX(Avaluacio[Codi ítem],(MATCH(0,INDEX(COUNTIF(E$1:E91,Avaluacio[Codi ítem]),0,0)+INDEX(Avaluacio[Avaluable]="No",0,0),0))),"")</f>
        <v>XGO092</v>
      </c>
      <c r="F92" s="45" t="str">
        <f t="array" ref="F92">IFERROR(VLOOKUP(E92,Avaluacio[],COLUMN(Avaluacio[Ítem]),FALSE),"")</f>
        <v>Informe de contractes adjudicats segons el procediment</v>
      </c>
      <c r="G92" t="str">
        <f t="array" ref="G92">IFERROR(VLOOKUP(E92,Avaluacio[],COLUMN(Avaluacio[Família]),FALSE),"")</f>
        <v>Contractes, convenis i subvencions</v>
      </c>
      <c r="H92" t="str">
        <f t="array" ref="H92">IFERROR(VLOOKUP(E92,Avaluacio[],COLUMN(Avaluacio[Subfamília]),FALSE),"")</f>
        <v>Informació de la contractació pública</v>
      </c>
      <c r="I92" s="6" t="str">
        <f t="array" ref="I92">IFERROR(VLOOKUP(E92,Avaluacio[],COLUMN(Avaluacio[Contingut]),FALSE),"")</f>
        <v>Sí</v>
      </c>
      <c r="J92" s="6" t="str">
        <f t="array" ref="J92">IFERROR(VLOOKUP(E92,Avaluacio[],COLUMN(Avaluacio[Actualització]),FALSE),"")</f>
        <v>Sí</v>
      </c>
      <c r="K92" s="6" t="str">
        <f t="array" ref="K92">IFERROR(VLOOKUP(E92,Avaluacio[],COLUMN(#REF!),FALSE),"")</f>
        <v/>
      </c>
      <c r="L92" t="str">
        <f t="array" ref="L92">IFERROR(VLOOKUP(E92,Avaluacio[],COLUMN(Avaluacio[Grau de compliment]),FALSE),"")</f>
        <v>Compleix totalment</v>
      </c>
      <c r="M92" s="8">
        <f t="array" ref="M92">IFERROR(VLOOKUP(E92,Avaluacio[],COLUMN(Avaluacio[% compliment]),FALSE),"")</f>
        <v>1</v>
      </c>
    </row>
    <row r="93" spans="1:13" ht="45" x14ac:dyDescent="0.2">
      <c r="A93" t="str">
        <f t="array" ref="A93">IFERROR(IF(VLOOKUP($E93,Avaluacio[],COLUMN(Avaluacio[Codi ítem]),FALSE)=$E93,'1_Plantejament'!$B$5,""),"")</f>
        <v xml:space="preserve">Ajuntament de la Tallada d'Empordà </v>
      </c>
      <c r="B93">
        <f t="array" ref="B93">IFERROR(IF(VLOOKUP($E93,Avaluacio[],COLUMN(Avaluacio[Codi ítem]),FALSE)=$E93,'1_Plantejament'!$B$9,""),"")</f>
        <v>2026</v>
      </c>
      <c r="C93">
        <f t="array" ref="C93">IFERROR(IF(VLOOKUP($E93,Avaluacio[],COLUMN(Avaluacio[Codi ítem]),FALSE)=$E93,'1_Plantejament'!$B$10,""),"")</f>
        <v>46205</v>
      </c>
      <c r="D93" s="6" t="str">
        <f t="array" ref="D93">IFERROR(IF(VLOOKUP($E93,Avaluacio[],COLUMN(Avaluacio[Codi ítem]),FALSE)=$E93,'1_Plantejament'!$B$7,""),"")</f>
        <v>Fase 5</v>
      </c>
      <c r="E93" s="6" t="str">
        <f t="array" ref="E93">IFERROR(INDEX(Avaluacio[Codi ítem],(MATCH(0,INDEX(COUNTIF(E$1:E92,Avaluacio[Codi ítem]),0,0)+INDEX(Avaluacio[Avaluable]="No",0,0),0))),"")</f>
        <v>XGO093</v>
      </c>
      <c r="F93" s="45" t="str">
        <f t="array" ref="F93">IFERROR(VLOOKUP(E93,Avaluacio[],COLUMN(Avaluacio[Ítem]),FALSE),"")</f>
        <v>Personal adscrit pels concessionaris i retribucions</v>
      </c>
      <c r="G93" t="str">
        <f t="array" ref="G93">IFERROR(VLOOKUP(E93,Avaluacio[],COLUMN(Avaluacio[Família]),FALSE),"")</f>
        <v>Contractes, convenis i subvencions</v>
      </c>
      <c r="H93" t="str">
        <f t="array" ref="H93">IFERROR(VLOOKUP(E93,Avaluacio[],COLUMN(Avaluacio[Subfamília]),FALSE),"")</f>
        <v>Informació de la contractació pública</v>
      </c>
      <c r="I93" s="6" t="str">
        <f t="array" ref="I93">IFERROR(VLOOKUP(E93,Avaluacio[],COLUMN(Avaluacio[Contingut]),FALSE),"")</f>
        <v>Sí</v>
      </c>
      <c r="J93" s="6" t="str">
        <f t="array" ref="J93">IFERROR(VLOOKUP(E93,Avaluacio[],COLUMN(Avaluacio[Actualització]),FALSE),"")</f>
        <v>Sí</v>
      </c>
      <c r="K93" s="6" t="str">
        <f t="array" ref="K93">IFERROR(VLOOKUP(E93,Avaluacio[],COLUMN(#REF!),FALSE),"")</f>
        <v/>
      </c>
      <c r="L93" t="str">
        <f t="array" ref="L93">IFERROR(VLOOKUP(E93,Avaluacio[],COLUMN(Avaluacio[Grau de compliment]),FALSE),"")</f>
        <v>Compleix totalment</v>
      </c>
      <c r="M93" s="8">
        <f t="array" ref="M93">IFERROR(VLOOKUP(E93,Avaluacio[],COLUMN(Avaluacio[% compliment]),FALSE),"")</f>
        <v>1</v>
      </c>
    </row>
    <row r="94" spans="1:13" ht="28.5" x14ac:dyDescent="0.2">
      <c r="A94" t="str">
        <f t="array" ref="A94">IFERROR(IF(VLOOKUP($E94,Avaluacio[],COLUMN(Avaluacio[Codi ítem]),FALSE)=$E94,'1_Plantejament'!$B$5,""),"")</f>
        <v xml:space="preserve">Ajuntament de la Tallada d'Empordà </v>
      </c>
      <c r="B94">
        <f t="array" ref="B94">IFERROR(IF(VLOOKUP($E94,Avaluacio[],COLUMN(Avaluacio[Codi ítem]),FALSE)=$E94,'1_Plantejament'!$B$9,""),"")</f>
        <v>2026</v>
      </c>
      <c r="C94">
        <f t="array" ref="C94">IFERROR(IF(VLOOKUP($E94,Avaluacio[],COLUMN(Avaluacio[Codi ítem]),FALSE)=$E94,'1_Plantejament'!$B$10,""),"")</f>
        <v>46205</v>
      </c>
      <c r="D94" s="6" t="str">
        <f t="array" ref="D94">IFERROR(IF(VLOOKUP($E94,Avaluacio[],COLUMN(Avaluacio[Codi ítem]),FALSE)=$E94,'1_Plantejament'!$B$7,""),"")</f>
        <v>Fase 5</v>
      </c>
      <c r="E94" s="6" t="str">
        <f t="array" ref="E94">IFERROR(INDEX(Avaluacio[Codi ítem],(MATCH(0,INDEX(COUNTIF(E$1:E93,Avaluacio[Codi ítem]),0,0)+INDEX(Avaluacio[Avaluable]="No",0,0),0))),"")</f>
        <v>XGO094</v>
      </c>
      <c r="F94" s="45" t="str">
        <f t="array" ref="F94">IFERROR(VLOOKUP(E94,Avaluacio[],COLUMN(Avaluacio[Ítem]),FALSE),"")</f>
        <v>Convenis de col·laboració</v>
      </c>
      <c r="G94" t="str">
        <f t="array" ref="G94">IFERROR(VLOOKUP(E94,Avaluacio[],COLUMN(Avaluacio[Família]),FALSE),"")</f>
        <v>Contractes, convenis i subvencions</v>
      </c>
      <c r="H94" t="str">
        <f t="array" ref="H94">IFERROR(VLOOKUP(E94,Avaluacio[],COLUMN(Avaluacio[Subfamília]),FALSE),"")</f>
        <v>Convenis i subvencions</v>
      </c>
      <c r="I94" s="6" t="str">
        <f t="array" ref="I94">IFERROR(VLOOKUP(E94,Avaluacio[],COLUMN(Avaluacio[Contingut]),FALSE),"")</f>
        <v>Sí</v>
      </c>
      <c r="J94" s="6" t="str">
        <f t="array" ref="J94">IFERROR(VLOOKUP(E94,Avaluacio[],COLUMN(Avaluacio[Actualització]),FALSE),"")</f>
        <v>Sí</v>
      </c>
      <c r="K94" s="6" t="str">
        <f t="array" ref="K94">IFERROR(VLOOKUP(E94,Avaluacio[],COLUMN(#REF!),FALSE),"")</f>
        <v/>
      </c>
      <c r="L94" t="str">
        <f t="array" ref="L94">IFERROR(VLOOKUP(E94,Avaluacio[],COLUMN(Avaluacio[Grau de compliment]),FALSE),"")</f>
        <v>Compleix totalment</v>
      </c>
      <c r="M94" s="8">
        <f t="array" ref="M94">IFERROR(VLOOKUP(E94,Avaluacio[],COLUMN(Avaluacio[% compliment]),FALSE),"")</f>
        <v>1</v>
      </c>
    </row>
    <row r="95" spans="1:13" ht="28.5" x14ac:dyDescent="0.2">
      <c r="A95" t="str">
        <f t="array" ref="A95">IFERROR(IF(VLOOKUP($E95,Avaluacio[],COLUMN(Avaluacio[Codi ítem]),FALSE)=$E95,'1_Plantejament'!$B$5,""),"")</f>
        <v xml:space="preserve">Ajuntament de la Tallada d'Empordà </v>
      </c>
      <c r="B95">
        <f t="array" ref="B95">IFERROR(IF(VLOOKUP($E95,Avaluacio[],COLUMN(Avaluacio[Codi ítem]),FALSE)=$E95,'1_Plantejament'!$B$9,""),"")</f>
        <v>2026</v>
      </c>
      <c r="C95">
        <f t="array" ref="C95">IFERROR(IF(VLOOKUP($E95,Avaluacio[],COLUMN(Avaluacio[Codi ítem]),FALSE)=$E95,'1_Plantejament'!$B$10,""),"")</f>
        <v>46205</v>
      </c>
      <c r="D95" s="6" t="str">
        <f t="array" ref="D95">IFERROR(IF(VLOOKUP($E95,Avaluacio[],COLUMN(Avaluacio[Codi ítem]),FALSE)=$E95,'1_Plantejament'!$B$7,""),"")</f>
        <v>Fase 5</v>
      </c>
      <c r="E95" s="6" t="str">
        <f t="array" ref="E95">IFERROR(INDEX(Avaluacio[Codi ítem],(MATCH(0,INDEX(COUNTIF(E$1:E94,Avaluacio[Codi ítem]),0,0)+INDEX(Avaluacio[Avaluable]="No",0,0),0))),"")</f>
        <v>XGO095</v>
      </c>
      <c r="F95" s="45" t="str">
        <f t="array" ref="F95">IFERROR(VLOOKUP(E95,Avaluacio[],COLUMN(Avaluacio[Ítem]),FALSE),"")</f>
        <v>Convenis urbanístics</v>
      </c>
      <c r="G95" t="str">
        <f t="array" ref="G95">IFERROR(VLOOKUP(E95,Avaluacio[],COLUMN(Avaluacio[Família]),FALSE),"")</f>
        <v>Contractes, convenis i subvencions</v>
      </c>
      <c r="H95" t="str">
        <f t="array" ref="H95">IFERROR(VLOOKUP(E95,Avaluacio[],COLUMN(Avaluacio[Subfamília]),FALSE),"")</f>
        <v>Convenis i subvencions</v>
      </c>
      <c r="I95" s="6" t="str">
        <f t="array" ref="I95">IFERROR(VLOOKUP(E95,Avaluacio[],COLUMN(Avaluacio[Contingut]),FALSE),"")</f>
        <v>Sí</v>
      </c>
      <c r="J95" s="6" t="str">
        <f t="array" ref="J95">IFERROR(VLOOKUP(E95,Avaluacio[],COLUMN(Avaluacio[Actualització]),FALSE),"")</f>
        <v>Sí</v>
      </c>
      <c r="K95" s="6" t="str">
        <f t="array" ref="K95">IFERROR(VLOOKUP(E95,Avaluacio[],COLUMN(#REF!),FALSE),"")</f>
        <v/>
      </c>
      <c r="L95" t="str">
        <f t="array" ref="L95">IFERROR(VLOOKUP(E95,Avaluacio[],COLUMN(Avaluacio[Grau de compliment]),FALSE),"")</f>
        <v>Compleix totalment</v>
      </c>
      <c r="M95" s="8">
        <f t="array" ref="M95">IFERROR(VLOOKUP(E95,Avaluacio[],COLUMN(Avaluacio[% compliment]),FALSE),"")</f>
        <v>1</v>
      </c>
    </row>
    <row r="96" spans="1:13" ht="30" x14ac:dyDescent="0.2">
      <c r="A96" t="str">
        <f t="array" ref="A96">IFERROR(IF(VLOOKUP($E96,Avaluacio[],COLUMN(Avaluacio[Codi ítem]),FALSE)=$E96,'1_Plantejament'!$B$5,""),"")</f>
        <v xml:space="preserve">Ajuntament de la Tallada d'Empordà </v>
      </c>
      <c r="B96">
        <f t="array" ref="B96">IFERROR(IF(VLOOKUP($E96,Avaluacio[],COLUMN(Avaluacio[Codi ítem]),FALSE)=$E96,'1_Plantejament'!$B$9,""),"")</f>
        <v>2026</v>
      </c>
      <c r="C96">
        <f t="array" ref="C96">IFERROR(IF(VLOOKUP($E96,Avaluacio[],COLUMN(Avaluacio[Codi ítem]),FALSE)=$E96,'1_Plantejament'!$B$10,""),"")</f>
        <v>46205</v>
      </c>
      <c r="D96" s="6" t="str">
        <f t="array" ref="D96">IFERROR(IF(VLOOKUP($E96,Avaluacio[],COLUMN(Avaluacio[Codi ítem]),FALSE)=$E96,'1_Plantejament'!$B$7,""),"")</f>
        <v>Fase 5</v>
      </c>
      <c r="E96" s="6" t="str">
        <f t="array" ref="E96">IFERROR(INDEX(Avaluacio[Codi ítem],(MATCH(0,INDEX(COUNTIF(E$1:E95,Avaluacio[Codi ítem]),0,0)+INDEX(Avaluacio[Avaluable]="No",0,0),0))),"")</f>
        <v>XGO096</v>
      </c>
      <c r="F96" s="45" t="str">
        <f t="array" ref="F96">IFERROR(VLOOKUP(E96,Avaluacio[],COLUMN(Avaluacio[Ítem]),FALSE),"")</f>
        <v>Informació de l'execució dels convenis</v>
      </c>
      <c r="G96" t="str">
        <f t="array" ref="G96">IFERROR(VLOOKUP(E96,Avaluacio[],COLUMN(Avaluacio[Família]),FALSE),"")</f>
        <v>Contractes, convenis i subvencions</v>
      </c>
      <c r="H96" t="str">
        <f t="array" ref="H96">IFERROR(VLOOKUP(E96,Avaluacio[],COLUMN(Avaluacio[Subfamília]),FALSE),"")</f>
        <v>Convenis i subvencions</v>
      </c>
      <c r="I96" s="6" t="str">
        <f t="array" ref="I96">IFERROR(VLOOKUP(E96,Avaluacio[],COLUMN(Avaluacio[Contingut]),FALSE),"")</f>
        <v>Sí</v>
      </c>
      <c r="J96" s="6" t="str">
        <f t="array" ref="J96">IFERROR(VLOOKUP(E96,Avaluacio[],COLUMN(Avaluacio[Actualització]),FALSE),"")</f>
        <v>Sí</v>
      </c>
      <c r="K96" s="6" t="str">
        <f t="array" ref="K96">IFERROR(VLOOKUP(E96,Avaluacio[],COLUMN(#REF!),FALSE),"")</f>
        <v/>
      </c>
      <c r="L96" t="str">
        <f t="array" ref="L96">IFERROR(VLOOKUP(E96,Avaluacio[],COLUMN(Avaluacio[Grau de compliment]),FALSE),"")</f>
        <v>Compleix totalment</v>
      </c>
      <c r="M96" s="8">
        <f t="array" ref="M96">IFERROR(VLOOKUP(E96,Avaluacio[],COLUMN(Avaluacio[% compliment]),FALSE),"")</f>
        <v>1</v>
      </c>
    </row>
    <row r="97" spans="1:13" ht="30" x14ac:dyDescent="0.2">
      <c r="A97" t="str">
        <f t="array" ref="A97">IFERROR(IF(VLOOKUP($E97,Avaluacio[],COLUMN(Avaluacio[Codi ítem]),FALSE)=$E97,'1_Plantejament'!$B$5,""),"")</f>
        <v xml:space="preserve">Ajuntament de la Tallada d'Empordà </v>
      </c>
      <c r="B97">
        <f t="array" ref="B97">IFERROR(IF(VLOOKUP($E97,Avaluacio[],COLUMN(Avaluacio[Codi ítem]),FALSE)=$E97,'1_Plantejament'!$B$9,""),"")</f>
        <v>2026</v>
      </c>
      <c r="C97">
        <f t="array" ref="C97">IFERROR(IF(VLOOKUP($E97,Avaluacio[],COLUMN(Avaluacio[Codi ítem]),FALSE)=$E97,'1_Plantejament'!$B$10,""),"")</f>
        <v>46205</v>
      </c>
      <c r="D97" s="6" t="str">
        <f t="array" ref="D97">IFERROR(IF(VLOOKUP($E97,Avaluacio[],COLUMN(Avaluacio[Codi ítem]),FALSE)=$E97,'1_Plantejament'!$B$7,""),"")</f>
        <v>Fase 5</v>
      </c>
      <c r="E97" s="6" t="str">
        <f t="array" ref="E97">IFERROR(INDEX(Avaluacio[Codi ítem],(MATCH(0,INDEX(COUNTIF(E$1:E96,Avaluacio[Codi ítem]),0,0)+INDEX(Avaluacio[Avaluable]="No",0,0),0))),"")</f>
        <v>XGO097</v>
      </c>
      <c r="F97" s="45" t="str">
        <f t="array" ref="F97">IFERROR(VLOOKUP(E97,Avaluacio[],COLUMN(Avaluacio[Ítem]),FALSE),"")</f>
        <v>Convocatòries de subvencions i ajuts</v>
      </c>
      <c r="G97" t="str">
        <f t="array" ref="G97">IFERROR(VLOOKUP(E97,Avaluacio[],COLUMN(Avaluacio[Família]),FALSE),"")</f>
        <v>Contractes, convenis i subvencions</v>
      </c>
      <c r="H97" t="str">
        <f t="array" ref="H97">IFERROR(VLOOKUP(E97,Avaluacio[],COLUMN(Avaluacio[Subfamília]),FALSE),"")</f>
        <v>Convenis i subvencions</v>
      </c>
      <c r="I97" s="6" t="str">
        <f t="array" ref="I97">IFERROR(VLOOKUP(E97,Avaluacio[],COLUMN(Avaluacio[Contingut]),FALSE),"")</f>
        <v>Sí</v>
      </c>
      <c r="J97" s="6" t="str">
        <f t="array" ref="J97">IFERROR(VLOOKUP(E97,Avaluacio[],COLUMN(Avaluacio[Actualització]),FALSE),"")</f>
        <v>Sí</v>
      </c>
      <c r="K97" s="6" t="str">
        <f t="array" ref="K97">IFERROR(VLOOKUP(E97,Avaluacio[],COLUMN(#REF!),FALSE),"")</f>
        <v/>
      </c>
      <c r="L97" t="str">
        <f t="array" ref="L97">IFERROR(VLOOKUP(E97,Avaluacio[],COLUMN(Avaluacio[Grau de compliment]),FALSE),"")</f>
        <v>Compleix totalment</v>
      </c>
      <c r="M97" s="8">
        <f t="array" ref="M97">IFERROR(VLOOKUP(E97,Avaluacio[],COLUMN(Avaluacio[% compliment]),FALSE),"")</f>
        <v>1</v>
      </c>
    </row>
    <row r="98" spans="1:13" ht="28.5" x14ac:dyDescent="0.2">
      <c r="A98" t="str">
        <f t="array" ref="A98">IFERROR(IF(VLOOKUP($E98,Avaluacio[],COLUMN(Avaluacio[Codi ítem]),FALSE)=$E98,'1_Plantejament'!$B$5,""),"")</f>
        <v xml:space="preserve">Ajuntament de la Tallada d'Empordà </v>
      </c>
      <c r="B98">
        <f t="array" ref="B98">IFERROR(IF(VLOOKUP($E98,Avaluacio[],COLUMN(Avaluacio[Codi ítem]),FALSE)=$E98,'1_Plantejament'!$B$9,""),"")</f>
        <v>2026</v>
      </c>
      <c r="C98">
        <f t="array" ref="C98">IFERROR(IF(VLOOKUP($E98,Avaluacio[],COLUMN(Avaluacio[Codi ítem]),FALSE)=$E98,'1_Plantejament'!$B$10,""),"")</f>
        <v>46205</v>
      </c>
      <c r="D98" s="6" t="str">
        <f t="array" ref="D98">IFERROR(IF(VLOOKUP($E98,Avaluacio[],COLUMN(Avaluacio[Codi ítem]),FALSE)=$E98,'1_Plantejament'!$B$7,""),"")</f>
        <v>Fase 5</v>
      </c>
      <c r="E98" s="6" t="str">
        <f t="array" ref="E98">IFERROR(INDEX(Avaluacio[Codi ítem],(MATCH(0,INDEX(COUNTIF(E$1:E97,Avaluacio[Codi ítem]),0,0)+INDEX(Avaluacio[Avaluable]="No",0,0),0))),"")</f>
        <v>XGO098</v>
      </c>
      <c r="F98" s="45" t="str">
        <f t="array" ref="F98">IFERROR(VLOOKUP(E98,Avaluacio[],COLUMN(Avaluacio[Ítem]),FALSE),"")</f>
        <v>Subvencions atorgades</v>
      </c>
      <c r="G98" t="str">
        <f t="array" ref="G98">IFERROR(VLOOKUP(E98,Avaluacio[],COLUMN(Avaluacio[Família]),FALSE),"")</f>
        <v>Contractes, convenis i subvencions</v>
      </c>
      <c r="H98" t="str">
        <f t="array" ref="H98">IFERROR(VLOOKUP(E98,Avaluacio[],COLUMN(Avaluacio[Subfamília]),FALSE),"")</f>
        <v>Convenis i subvencions</v>
      </c>
      <c r="I98" s="6" t="str">
        <f t="array" ref="I98">IFERROR(VLOOKUP(E98,Avaluacio[],COLUMN(Avaluacio[Contingut]),FALSE),"")</f>
        <v>No</v>
      </c>
      <c r="J98" s="6" t="str">
        <f t="array" ref="J98">IFERROR(VLOOKUP(E98,Avaluacio[],COLUMN(Avaluacio[Actualització]),FALSE),"")</f>
        <v>No</v>
      </c>
      <c r="K98" s="6" t="str">
        <f t="array" ref="K98">IFERROR(VLOOKUP(E98,Avaluacio[],COLUMN(#REF!),FALSE),"")</f>
        <v/>
      </c>
      <c r="L98" t="str">
        <f t="array" ref="L98">IFERROR(VLOOKUP(E98,Avaluacio[],COLUMN(Avaluacio[Grau de compliment]),FALSE),"")</f>
        <v>No compleix</v>
      </c>
      <c r="M98" s="8">
        <f t="array" ref="M98">IFERROR(VLOOKUP(E98,Avaluacio[],COLUMN(Avaluacio[% compliment]),FALSE),"")</f>
        <v>0</v>
      </c>
    </row>
    <row r="99" spans="1:13" ht="28.5" x14ac:dyDescent="0.2">
      <c r="A99" t="str">
        <f t="array" ref="A99">IFERROR(IF(VLOOKUP($E99,Avaluacio[],COLUMN(Avaluacio[Codi ítem]),FALSE)=$E99,'1_Plantejament'!$B$5,""),"")</f>
        <v xml:space="preserve">Ajuntament de la Tallada d'Empordà </v>
      </c>
      <c r="B99">
        <f t="array" ref="B99">IFERROR(IF(VLOOKUP($E99,Avaluacio[],COLUMN(Avaluacio[Codi ítem]),FALSE)=$E99,'1_Plantejament'!$B$9,""),"")</f>
        <v>2026</v>
      </c>
      <c r="C99">
        <f t="array" ref="C99">IFERROR(IF(VLOOKUP($E99,Avaluacio[],COLUMN(Avaluacio[Codi ítem]),FALSE)=$E99,'1_Plantejament'!$B$10,""),"")</f>
        <v>46205</v>
      </c>
      <c r="D99" s="6" t="str">
        <f t="array" ref="D99">IFERROR(IF(VLOOKUP($E99,Avaluacio[],COLUMN(Avaluacio[Codi ítem]),FALSE)=$E99,'1_Plantejament'!$B$7,""),"")</f>
        <v>Fase 5</v>
      </c>
      <c r="E99" s="6" t="str">
        <f t="array" ref="E99">IFERROR(INDEX(Avaluacio[Codi ítem],(MATCH(0,INDEX(COUNTIF(E$1:E98,Avaluacio[Codi ítem]),0,0)+INDEX(Avaluacio[Avaluable]="No",0,0),0))),"")</f>
        <v>XGO099</v>
      </c>
      <c r="F99" s="45" t="str">
        <f t="array" ref="F99">IFERROR(VLOOKUP(E99,Avaluacio[],COLUMN(Avaluacio[Ítem]),FALSE),"")</f>
        <v>Ajuts atorgats</v>
      </c>
      <c r="G99" t="str">
        <f t="array" ref="G99">IFERROR(VLOOKUP(E99,Avaluacio[],COLUMN(Avaluacio[Família]),FALSE),"")</f>
        <v>Contractes, convenis i subvencions</v>
      </c>
      <c r="H99" t="str">
        <f t="array" ref="H99">IFERROR(VLOOKUP(E99,Avaluacio[],COLUMN(Avaluacio[Subfamília]),FALSE),"")</f>
        <v>Convenis i subvencions</v>
      </c>
      <c r="I99" s="6" t="str">
        <f t="array" ref="I99">IFERROR(VLOOKUP(E99,Avaluacio[],COLUMN(Avaluacio[Contingut]),FALSE),"")</f>
        <v>No</v>
      </c>
      <c r="J99" s="6" t="str">
        <f t="array" ref="J99">IFERROR(VLOOKUP(E99,Avaluacio[],COLUMN(Avaluacio[Actualització]),FALSE),"")</f>
        <v>No</v>
      </c>
      <c r="K99" s="6" t="str">
        <f t="array" ref="K99">IFERROR(VLOOKUP(E99,Avaluacio[],COLUMN(#REF!),FALSE),"")</f>
        <v/>
      </c>
      <c r="L99" t="str">
        <f t="array" ref="L99">IFERROR(VLOOKUP(E99,Avaluacio[],COLUMN(Avaluacio[Grau de compliment]),FALSE),"")</f>
        <v>No compleix</v>
      </c>
      <c r="M99" s="8">
        <f t="array" ref="M99">IFERROR(VLOOKUP(E99,Avaluacio[],COLUMN(Avaluacio[% compliment]),FALSE),"")</f>
        <v>0</v>
      </c>
    </row>
    <row r="100" spans="1:13" ht="30" x14ac:dyDescent="0.2">
      <c r="A100" t="str">
        <f t="array" ref="A100">IFERROR(IF(VLOOKUP($E100,Avaluacio[],COLUMN(Avaluacio[Codi ítem]),FALSE)=$E100,'1_Plantejament'!$B$5,""),"")</f>
        <v xml:space="preserve">Ajuntament de la Tallada d'Empordà </v>
      </c>
      <c r="B100">
        <f t="array" ref="B100">IFERROR(IF(VLOOKUP($E100,Avaluacio[],COLUMN(Avaluacio[Codi ítem]),FALSE)=$E100,'1_Plantejament'!$B$9,""),"")</f>
        <v>2026</v>
      </c>
      <c r="C100">
        <f t="array" ref="C100">IFERROR(IF(VLOOKUP($E100,Avaluacio[],COLUMN(Avaluacio[Codi ítem]),FALSE)=$E100,'1_Plantejament'!$B$10,""),"")</f>
        <v>46205</v>
      </c>
      <c r="D100" s="6" t="str">
        <f t="array" ref="D100">IFERROR(IF(VLOOKUP($E100,Avaluacio[],COLUMN(Avaluacio[Codi ítem]),FALSE)=$E100,'1_Plantejament'!$B$7,""),"")</f>
        <v>Fase 5</v>
      </c>
      <c r="E100" s="6" t="str">
        <f t="array" ref="E100">IFERROR(INDEX(Avaluacio[Codi ítem],(MATCH(0,INDEX(COUNTIF(E$1:E99,Avaluacio[Codi ítem]),0,0)+INDEX(Avaluacio[Avaluable]="No",0,0),0))),"")</f>
        <v>XGO100</v>
      </c>
      <c r="F100" s="45" t="str">
        <f t="array" ref="F100">IFERROR(VLOOKUP(E100,Avaluacio[],COLUMN(Avaluacio[Ítem]),FALSE),"")</f>
        <v>Retribució dels directius beneficiaris de subvencions</v>
      </c>
      <c r="G100" t="str">
        <f t="array" ref="G100">IFERROR(VLOOKUP(E100,Avaluacio[],COLUMN(Avaluacio[Família]),FALSE),"")</f>
        <v>Contractes, convenis i subvencions</v>
      </c>
      <c r="H100" t="str">
        <f t="array" ref="H100">IFERROR(VLOOKUP(E100,Avaluacio[],COLUMN(Avaluacio[Subfamília]),FALSE),"")</f>
        <v>Convenis i subvencions</v>
      </c>
      <c r="I100" s="6" t="str">
        <f t="array" ref="I100">IFERROR(VLOOKUP(E100,Avaluacio[],COLUMN(Avaluacio[Contingut]),FALSE),"")</f>
        <v>Sí</v>
      </c>
      <c r="J100" s="6" t="str">
        <f t="array" ref="J100">IFERROR(VLOOKUP(E100,Avaluacio[],COLUMN(Avaluacio[Actualització]),FALSE),"")</f>
        <v>Sí</v>
      </c>
      <c r="K100" s="6" t="str">
        <f t="array" ref="K100">IFERROR(VLOOKUP(E100,Avaluacio[],COLUMN(#REF!),FALSE),"")</f>
        <v/>
      </c>
      <c r="L100" t="str">
        <f t="array" ref="L100">IFERROR(VLOOKUP(E100,Avaluacio[],COLUMN(Avaluacio[Grau de compliment]),FALSE),"")</f>
        <v>Compleix totalment</v>
      </c>
      <c r="M100" s="8">
        <f t="array" ref="M100">IFERROR(VLOOKUP(E100,Avaluacio[],COLUMN(Avaluacio[% compliment]),FALSE),"")</f>
        <v>1</v>
      </c>
    </row>
    <row r="101" spans="1:13" ht="28.5" x14ac:dyDescent="0.2">
      <c r="A101" t="str">
        <f t="array" ref="A101">IFERROR(IF(VLOOKUP($E101,Avaluacio[],COLUMN(Avaluacio[Codi ítem]),FALSE)=$E101,'1_Plantejament'!$B$5,""),"")</f>
        <v xml:space="preserve">Ajuntament de la Tallada d'Empordà </v>
      </c>
      <c r="B101">
        <f t="array" ref="B101">IFERROR(IF(VLOOKUP($E101,Avaluacio[],COLUMN(Avaluacio[Codi ítem]),FALSE)=$E101,'1_Plantejament'!$B$9,""),"")</f>
        <v>2026</v>
      </c>
      <c r="C101">
        <f t="array" ref="C101">IFERROR(IF(VLOOKUP($E101,Avaluacio[],COLUMN(Avaluacio[Codi ítem]),FALSE)=$E101,'1_Plantejament'!$B$10,""),"")</f>
        <v>46205</v>
      </c>
      <c r="D101" s="6" t="str">
        <f t="array" ref="D101">IFERROR(IF(VLOOKUP($E101,Avaluacio[],COLUMN(Avaluacio[Codi ítem]),FALSE)=$E101,'1_Plantejament'!$B$7,""),"")</f>
        <v>Fase 5</v>
      </c>
      <c r="E101" s="6" t="str">
        <f t="array" ref="E101">IFERROR(INDEX(Avaluacio[Codi ítem],(MATCH(0,INDEX(COUNTIF(E$1:E100,Avaluacio[Codi ítem]),0,0)+INDEX(Avaluacio[Avaluable]="No",0,0),0))),"")</f>
        <v>XGO101</v>
      </c>
      <c r="F101" s="45" t="str">
        <f t="array" ref="F101">IFERROR(VLOOKUP(E101,Avaluacio[],COLUMN(Avaluacio[Ítem]),FALSE),"")</f>
        <v>Pressupost</v>
      </c>
      <c r="G101" t="str">
        <f t="array" ref="G101">IFERROR(VLOOKUP(E101,Avaluacio[],COLUMN(Avaluacio[Família]),FALSE),"")</f>
        <v>Gestió econòmica</v>
      </c>
      <c r="H101" t="str">
        <f t="array" ref="H101">IFERROR(VLOOKUP(E101,Avaluacio[],COLUMN(Avaluacio[Subfamília]),FALSE),"")</f>
        <v>Pressupost</v>
      </c>
      <c r="I101" s="6" t="str">
        <f t="array" ref="I101">IFERROR(VLOOKUP(E101,Avaluacio[],COLUMN(Avaluacio[Contingut]),FALSE),"")</f>
        <v>Sí</v>
      </c>
      <c r="J101" s="6" t="str">
        <f t="array" ref="J101">IFERROR(VLOOKUP(E101,Avaluacio[],COLUMN(Avaluacio[Actualització]),FALSE),"")</f>
        <v>Sí</v>
      </c>
      <c r="K101" s="6" t="str">
        <f t="array" ref="K101">IFERROR(VLOOKUP(E101,Avaluacio[],COLUMN(#REF!),FALSE),"")</f>
        <v/>
      </c>
      <c r="L101" t="str">
        <f t="array" ref="L101">IFERROR(VLOOKUP(E101,Avaluacio[],COLUMN(Avaluacio[Grau de compliment]),FALSE),"")</f>
        <v>Compleix totalment</v>
      </c>
      <c r="M101" s="8">
        <f t="array" ref="M101">IFERROR(VLOOKUP(E101,Avaluacio[],COLUMN(Avaluacio[% compliment]),FALSE),"")</f>
        <v>1</v>
      </c>
    </row>
    <row r="102" spans="1:13" ht="30" x14ac:dyDescent="0.2">
      <c r="A102" t="str">
        <f t="array" ref="A102">IFERROR(IF(VLOOKUP($E102,Avaluacio[],COLUMN(Avaluacio[Codi ítem]),FALSE)=$E102,'1_Plantejament'!$B$5,""),"")</f>
        <v xml:space="preserve">Ajuntament de la Tallada d'Empordà </v>
      </c>
      <c r="B102">
        <f t="array" ref="B102">IFERROR(IF(VLOOKUP($E102,Avaluacio[],COLUMN(Avaluacio[Codi ítem]),FALSE)=$E102,'1_Plantejament'!$B$9,""),"")</f>
        <v>2026</v>
      </c>
      <c r="C102">
        <f t="array" ref="C102">IFERROR(IF(VLOOKUP($E102,Avaluacio[],COLUMN(Avaluacio[Codi ítem]),FALSE)=$E102,'1_Plantejament'!$B$10,""),"")</f>
        <v>46205</v>
      </c>
      <c r="D102" s="6" t="str">
        <f t="array" ref="D102">IFERROR(IF(VLOOKUP($E102,Avaluacio[],COLUMN(Avaluacio[Codi ítem]),FALSE)=$E102,'1_Plantejament'!$B$7,""),"")</f>
        <v>Fase 5</v>
      </c>
      <c r="E102" s="6" t="str">
        <f t="array" ref="E102">IFERROR(INDEX(Avaluacio[Codi ítem],(MATCH(0,INDEX(COUNTIF(E$1:E101,Avaluacio[Codi ítem]),0,0)+INDEX(Avaluacio[Avaluable]="No",0,0),0))),"")</f>
        <v>XGO102</v>
      </c>
      <c r="F102" s="45" t="str">
        <f t="array" ref="F102">IFERROR(VLOOKUP(E102,Avaluacio[],COLUMN(Avaluacio[Ítem]),FALSE),"")</f>
        <v>Execució pressupostària trimestral</v>
      </c>
      <c r="G102" t="str">
        <f t="array" ref="G102">IFERROR(VLOOKUP(E102,Avaluacio[],COLUMN(Avaluacio[Família]),FALSE),"")</f>
        <v>Gestió econòmica</v>
      </c>
      <c r="H102" t="str">
        <f t="array" ref="H102">IFERROR(VLOOKUP(E102,Avaluacio[],COLUMN(Avaluacio[Subfamília]),FALSE),"")</f>
        <v>Pressupost</v>
      </c>
      <c r="I102" s="6" t="str">
        <f t="array" ref="I102">IFERROR(VLOOKUP(E102,Avaluacio[],COLUMN(Avaluacio[Contingut]),FALSE),"")</f>
        <v>Sí</v>
      </c>
      <c r="J102" s="6" t="str">
        <f t="array" ref="J102">IFERROR(VLOOKUP(E102,Avaluacio[],COLUMN(Avaluacio[Actualització]),FALSE),"")</f>
        <v>Sí</v>
      </c>
      <c r="K102" s="6" t="str">
        <f t="array" ref="K102">IFERROR(VLOOKUP(E102,Avaluacio[],COLUMN(#REF!),FALSE),"")</f>
        <v/>
      </c>
      <c r="L102" t="str">
        <f t="array" ref="L102">IFERROR(VLOOKUP(E102,Avaluacio[],COLUMN(Avaluacio[Grau de compliment]),FALSE),"")</f>
        <v>Compleix totalment</v>
      </c>
      <c r="M102" s="8">
        <f t="array" ref="M102">IFERROR(VLOOKUP(E102,Avaluacio[],COLUMN(Avaluacio[% compliment]),FALSE),"")</f>
        <v>1</v>
      </c>
    </row>
    <row r="103" spans="1:13" ht="28.5" x14ac:dyDescent="0.2">
      <c r="A103" t="str">
        <f t="array" ref="A103">IFERROR(IF(VLOOKUP($E103,Avaluacio[],COLUMN(Avaluacio[Codi ítem]),FALSE)=$E103,'1_Plantejament'!$B$5,""),"")</f>
        <v xml:space="preserve">Ajuntament de la Tallada d'Empordà </v>
      </c>
      <c r="B103">
        <f t="array" ref="B103">IFERROR(IF(VLOOKUP($E103,Avaluacio[],COLUMN(Avaluacio[Codi ítem]),FALSE)=$E103,'1_Plantejament'!$B$9,""),"")</f>
        <v>2026</v>
      </c>
      <c r="C103">
        <f t="array" ref="C103">IFERROR(IF(VLOOKUP($E103,Avaluacio[],COLUMN(Avaluacio[Codi ítem]),FALSE)=$E103,'1_Plantejament'!$B$10,""),"")</f>
        <v>46205</v>
      </c>
      <c r="D103" s="6" t="str">
        <f t="array" ref="D103">IFERROR(IF(VLOOKUP($E103,Avaluacio[],COLUMN(Avaluacio[Codi ítem]),FALSE)=$E103,'1_Plantejament'!$B$7,""),"")</f>
        <v>Fase 5</v>
      </c>
      <c r="E103" s="6" t="str">
        <f t="array" ref="E103">IFERROR(INDEX(Avaluacio[Codi ítem],(MATCH(0,INDEX(COUNTIF(E$1:E102,Avaluacio[Codi ítem]),0,0)+INDEX(Avaluacio[Avaluable]="No",0,0),0))),"")</f>
        <v>XGO103</v>
      </c>
      <c r="F103" s="45" t="str">
        <f t="array" ref="F103">IFERROR(VLOOKUP(E103,Avaluacio[],COLUMN(Avaluacio[Ítem]),FALSE),"")</f>
        <v>Liquidació del pressupost</v>
      </c>
      <c r="G103" t="str">
        <f t="array" ref="G103">IFERROR(VLOOKUP(E103,Avaluacio[],COLUMN(Avaluacio[Família]),FALSE),"")</f>
        <v>Gestió econòmica</v>
      </c>
      <c r="H103" t="str">
        <f t="array" ref="H103">IFERROR(VLOOKUP(E103,Avaluacio[],COLUMN(Avaluacio[Subfamília]),FALSE),"")</f>
        <v>Pressupost</v>
      </c>
      <c r="I103" s="6" t="str">
        <f t="array" ref="I103">IFERROR(VLOOKUP(E103,Avaluacio[],COLUMN(Avaluacio[Contingut]),FALSE),"")</f>
        <v>Sí</v>
      </c>
      <c r="J103" s="6" t="str">
        <f t="array" ref="J103">IFERROR(VLOOKUP(E103,Avaluacio[],COLUMN(Avaluacio[Actualització]),FALSE),"")</f>
        <v>Sí</v>
      </c>
      <c r="K103" s="6" t="str">
        <f t="array" ref="K103">IFERROR(VLOOKUP(E103,Avaluacio[],COLUMN(#REF!),FALSE),"")</f>
        <v/>
      </c>
      <c r="L103" t="str">
        <f t="array" ref="L103">IFERROR(VLOOKUP(E103,Avaluacio[],COLUMN(Avaluacio[Grau de compliment]),FALSE),"")</f>
        <v>Compleix totalment</v>
      </c>
      <c r="M103" s="8">
        <f t="array" ref="M103">IFERROR(VLOOKUP(E103,Avaluacio[],COLUMN(Avaluacio[% compliment]),FALSE),"")</f>
        <v>1</v>
      </c>
    </row>
    <row r="104" spans="1:13" ht="28.5" x14ac:dyDescent="0.2">
      <c r="A104" t="str">
        <f t="array" ref="A104">IFERROR(IF(VLOOKUP($E104,Avaluacio[],COLUMN(Avaluacio[Codi ítem]),FALSE)=$E104,'1_Plantejament'!$B$5,""),"")</f>
        <v xml:space="preserve">Ajuntament de la Tallada d'Empordà </v>
      </c>
      <c r="B104">
        <f t="array" ref="B104">IFERROR(IF(VLOOKUP($E104,Avaluacio[],COLUMN(Avaluacio[Codi ítem]),FALSE)=$E104,'1_Plantejament'!$B$9,""),"")</f>
        <v>2026</v>
      </c>
      <c r="C104">
        <f t="array" ref="C104">IFERROR(IF(VLOOKUP($E104,Avaluacio[],COLUMN(Avaluacio[Codi ítem]),FALSE)=$E104,'1_Plantejament'!$B$10,""),"")</f>
        <v>46205</v>
      </c>
      <c r="D104" s="6" t="str">
        <f t="array" ref="D104">IFERROR(IF(VLOOKUP($E104,Avaluacio[],COLUMN(Avaluacio[Codi ítem]),FALSE)=$E104,'1_Plantejament'!$B$7,""),"")</f>
        <v>Fase 5</v>
      </c>
      <c r="E104" s="6" t="str">
        <f t="array" ref="E104">IFERROR(INDEX(Avaluacio[Codi ítem],(MATCH(0,INDEX(COUNTIF(E$1:E103,Avaluacio[Codi ítem]),0,0)+INDEX(Avaluacio[Avaluable]="No",0,0),0))),"")</f>
        <v>XGO104</v>
      </c>
      <c r="F104" s="45" t="str">
        <f t="array" ref="F104">IFERROR(VLOOKUP(E104,Avaluacio[],COLUMN(Avaluacio[Ítem]),FALSE),"")</f>
        <v>Compte general</v>
      </c>
      <c r="G104" t="str">
        <f t="array" ref="G104">IFERROR(VLOOKUP(E104,Avaluacio[],COLUMN(Avaluacio[Família]),FALSE),"")</f>
        <v>Gestió econòmica</v>
      </c>
      <c r="H104" t="str">
        <f t="array" ref="H104">IFERROR(VLOOKUP(E104,Avaluacio[],COLUMN(Avaluacio[Subfamília]),FALSE),"")</f>
        <v>Pressupost</v>
      </c>
      <c r="I104" s="6" t="str">
        <f t="array" ref="I104">IFERROR(VLOOKUP(E104,Avaluacio[],COLUMN(Avaluacio[Contingut]),FALSE),"")</f>
        <v>Sí</v>
      </c>
      <c r="J104" s="6" t="str">
        <f t="array" ref="J104">IFERROR(VLOOKUP(E104,Avaluacio[],COLUMN(Avaluacio[Actualització]),FALSE),"")</f>
        <v>Sí</v>
      </c>
      <c r="K104" s="6" t="str">
        <f t="array" ref="K104">IFERROR(VLOOKUP(E104,Avaluacio[],COLUMN(#REF!),FALSE),"")</f>
        <v/>
      </c>
      <c r="L104" t="str">
        <f t="array" ref="L104">IFERROR(VLOOKUP(E104,Avaluacio[],COLUMN(Avaluacio[Grau de compliment]),FALSE),"")</f>
        <v>Compleix totalment</v>
      </c>
      <c r="M104" s="8">
        <f t="array" ref="M104">IFERROR(VLOOKUP(E104,Avaluacio[],COLUMN(Avaluacio[% compliment]),FALSE),"")</f>
        <v>1</v>
      </c>
    </row>
    <row r="105" spans="1:13" ht="30" x14ac:dyDescent="0.2">
      <c r="A105" t="str">
        <f t="array" ref="A105">IFERROR(IF(VLOOKUP($E105,Avaluacio[],COLUMN(Avaluacio[Codi ítem]),FALSE)=$E105,'1_Plantejament'!$B$5,""),"")</f>
        <v xml:space="preserve">Ajuntament de la Tallada d'Empordà </v>
      </c>
      <c r="B105">
        <f t="array" ref="B105">IFERROR(IF(VLOOKUP($E105,Avaluacio[],COLUMN(Avaluacio[Codi ítem]),FALSE)=$E105,'1_Plantejament'!$B$9,""),"")</f>
        <v>2026</v>
      </c>
      <c r="C105">
        <f t="array" ref="C105">IFERROR(IF(VLOOKUP($E105,Avaluacio[],COLUMN(Avaluacio[Codi ítem]),FALSE)=$E105,'1_Plantejament'!$B$10,""),"")</f>
        <v>46205</v>
      </c>
      <c r="D105" s="6" t="str">
        <f t="array" ref="D105">IFERROR(IF(VLOOKUP($E105,Avaluacio[],COLUMN(Avaluacio[Codi ítem]),FALSE)=$E105,'1_Plantejament'!$B$7,""),"")</f>
        <v>Fase 5</v>
      </c>
      <c r="E105" s="6" t="str">
        <f t="array" ref="E105">IFERROR(INDEX(Avaluacio[Codi ítem],(MATCH(0,INDEX(COUNTIF(E$1:E104,Avaluacio[Codi ítem]),0,0)+INDEX(Avaluacio[Avaluable]="No",0,0),0))),"")</f>
        <v>XGO105</v>
      </c>
      <c r="F105" s="45" t="str">
        <f t="array" ref="F105">IFERROR(VLOOKUP(E105,Avaluacio[],COLUMN(Avaluacio[Ítem]),FALSE),"")</f>
        <v>Modificació de pressupostos</v>
      </c>
      <c r="G105" t="str">
        <f t="array" ref="G105">IFERROR(VLOOKUP(E105,Avaluacio[],COLUMN(Avaluacio[Família]),FALSE),"")</f>
        <v>Gestió econòmica</v>
      </c>
      <c r="H105" t="str">
        <f t="array" ref="H105">IFERROR(VLOOKUP(E105,Avaluacio[],COLUMN(Avaluacio[Subfamília]),FALSE),"")</f>
        <v>Pressupost</v>
      </c>
      <c r="I105" s="6" t="str">
        <f t="array" ref="I105">IFERROR(VLOOKUP(E105,Avaluacio[],COLUMN(Avaluacio[Contingut]),FALSE),"")</f>
        <v>Sí</v>
      </c>
      <c r="J105" s="6" t="str">
        <f t="array" ref="J105">IFERROR(VLOOKUP(E105,Avaluacio[],COLUMN(Avaluacio[Actualització]),FALSE),"")</f>
        <v>Sí</v>
      </c>
      <c r="K105" s="6" t="str">
        <f t="array" ref="K105">IFERROR(VLOOKUP(E105,Avaluacio[],COLUMN(#REF!),FALSE),"")</f>
        <v/>
      </c>
      <c r="L105" t="str">
        <f t="array" ref="L105">IFERROR(VLOOKUP(E105,Avaluacio[],COLUMN(Avaluacio[Grau de compliment]),FALSE),"")</f>
        <v>Compleix totalment</v>
      </c>
      <c r="M105" s="8">
        <f t="array" ref="M105">IFERROR(VLOOKUP(E105,Avaluacio[],COLUMN(Avaluacio[% compliment]),FALSE),"")</f>
        <v>1</v>
      </c>
    </row>
    <row r="106" spans="1:13" ht="30" x14ac:dyDescent="0.2">
      <c r="A106" t="str">
        <f t="array" ref="A106">IFERROR(IF(VLOOKUP($E106,Avaluacio[],COLUMN(Avaluacio[Codi ítem]),FALSE)=$E106,'1_Plantejament'!$B$5,""),"")</f>
        <v xml:space="preserve">Ajuntament de la Tallada d'Empordà </v>
      </c>
      <c r="B106">
        <f t="array" ref="B106">IFERROR(IF(VLOOKUP($E106,Avaluacio[],COLUMN(Avaluacio[Codi ítem]),FALSE)=$E106,'1_Plantejament'!$B$9,""),"")</f>
        <v>2026</v>
      </c>
      <c r="C106">
        <f t="array" ref="C106">IFERROR(IF(VLOOKUP($E106,Avaluacio[],COLUMN(Avaluacio[Codi ítem]),FALSE)=$E106,'1_Plantejament'!$B$10,""),"")</f>
        <v>46205</v>
      </c>
      <c r="D106" s="6" t="str">
        <f t="array" ref="D106">IFERROR(IF(VLOOKUP($E106,Avaluacio[],COLUMN(Avaluacio[Codi ítem]),FALSE)=$E106,'1_Plantejament'!$B$7,""),"")</f>
        <v>Fase 5</v>
      </c>
      <c r="E106" s="6" t="str">
        <f t="array" ref="E106">IFERROR(INDEX(Avaluacio[Codi ítem],(MATCH(0,INDEX(COUNTIF(E$1:E105,Avaluacio[Codi ítem]),0,0)+INDEX(Avaluacio[Avaluable]="No",0,0),0))),"")</f>
        <v>XGO106</v>
      </c>
      <c r="F106" s="45" t="str">
        <f t="array" ref="F106">IFERROR(VLOOKUP(E106,Avaluacio[],COLUMN(Avaluacio[Ítem]),FALSE),"")</f>
        <v>Compliment dels objectius d’estabilitat pressupostària</v>
      </c>
      <c r="G106" t="str">
        <f t="array" ref="G106">IFERROR(VLOOKUP(E106,Avaluacio[],COLUMN(Avaluacio[Família]),FALSE),"")</f>
        <v>Gestió econòmica</v>
      </c>
      <c r="H106" t="str">
        <f t="array" ref="H106">IFERROR(VLOOKUP(E106,Avaluacio[],COLUMN(Avaluacio[Subfamília]),FALSE),"")</f>
        <v>Pressupost</v>
      </c>
      <c r="I106" s="6" t="str">
        <f t="array" ref="I106">IFERROR(VLOOKUP(E106,Avaluacio[],COLUMN(Avaluacio[Contingut]),FALSE),"")</f>
        <v>Sí</v>
      </c>
      <c r="J106" s="6" t="str">
        <f t="array" ref="J106">IFERROR(VLOOKUP(E106,Avaluacio[],COLUMN(Avaluacio[Actualització]),FALSE),"")</f>
        <v>Sí</v>
      </c>
      <c r="K106" s="6" t="str">
        <f t="array" ref="K106">IFERROR(VLOOKUP(E106,Avaluacio[],COLUMN(#REF!),FALSE),"")</f>
        <v/>
      </c>
      <c r="L106" t="str">
        <f t="array" ref="L106">IFERROR(VLOOKUP(E106,Avaluacio[],COLUMN(Avaluacio[Grau de compliment]),FALSE),"")</f>
        <v>Compleix totalment</v>
      </c>
      <c r="M106" s="8">
        <f t="array" ref="M106">IFERROR(VLOOKUP(E106,Avaluacio[],COLUMN(Avaluacio[% compliment]),FALSE),"")</f>
        <v>1</v>
      </c>
    </row>
    <row r="107" spans="1:13" ht="30" x14ac:dyDescent="0.2">
      <c r="A107" t="str">
        <f t="array" ref="A107">IFERROR(IF(VLOOKUP($E107,Avaluacio[],COLUMN(Avaluacio[Codi ítem]),FALSE)=$E107,'1_Plantejament'!$B$5,""),"")</f>
        <v xml:space="preserve">Ajuntament de la Tallada d'Empordà </v>
      </c>
      <c r="B107">
        <f t="array" ref="B107">IFERROR(IF(VLOOKUP($E107,Avaluacio[],COLUMN(Avaluacio[Codi ítem]),FALSE)=$E107,'1_Plantejament'!$B$9,""),"")</f>
        <v>2026</v>
      </c>
      <c r="C107">
        <f t="array" ref="C107">IFERROR(IF(VLOOKUP($E107,Avaluacio[],COLUMN(Avaluacio[Codi ítem]),FALSE)=$E107,'1_Plantejament'!$B$10,""),"")</f>
        <v>46205</v>
      </c>
      <c r="D107" s="6" t="str">
        <f t="array" ref="D107">IFERROR(IF(VLOOKUP($E107,Avaluacio[],COLUMN(Avaluacio[Codi ítem]),FALSE)=$E107,'1_Plantejament'!$B$7,""),"")</f>
        <v>Fase 5</v>
      </c>
      <c r="E107" s="6" t="str">
        <f t="array" ref="E107">IFERROR(INDEX(Avaluacio[Codi ítem],(MATCH(0,INDEX(COUNTIF(E$1:E106,Avaluacio[Codi ítem]),0,0)+INDEX(Avaluacio[Avaluable]="No",0,0),0))),"")</f>
        <v>XGO107</v>
      </c>
      <c r="F107" s="45" t="str">
        <f t="array" ref="F107">IFERROR(VLOOKUP(E107,Avaluacio[],COLUMN(Avaluacio[Ítem]),FALSE),"")</f>
        <v>Informació de les campanyes institucionals</v>
      </c>
      <c r="G107" t="str">
        <f t="array" ref="G107">IFERROR(VLOOKUP(E107,Avaluacio[],COLUMN(Avaluacio[Família]),FALSE),"")</f>
        <v>Gestió econòmica</v>
      </c>
      <c r="H107" t="str">
        <f t="array" ref="H107">IFERROR(VLOOKUP(E107,Avaluacio[],COLUMN(Avaluacio[Subfamília]),FALSE),"")</f>
        <v>Pressupost</v>
      </c>
      <c r="I107" s="6" t="str">
        <f t="array" ref="I107">IFERROR(VLOOKUP(E107,Avaluacio[],COLUMN(Avaluacio[Contingut]),FALSE),"")</f>
        <v>Sí</v>
      </c>
      <c r="J107" s="6" t="str">
        <f t="array" ref="J107">IFERROR(VLOOKUP(E107,Avaluacio[],COLUMN(Avaluacio[Actualització]),FALSE),"")</f>
        <v>Sí</v>
      </c>
      <c r="K107" s="6" t="str">
        <f t="array" ref="K107">IFERROR(VLOOKUP(E107,Avaluacio[],COLUMN(#REF!),FALSE),"")</f>
        <v/>
      </c>
      <c r="L107" t="str">
        <f t="array" ref="L107">IFERROR(VLOOKUP(E107,Avaluacio[],COLUMN(Avaluacio[Grau de compliment]),FALSE),"")</f>
        <v>Compleix totalment</v>
      </c>
      <c r="M107" s="8">
        <f t="array" ref="M107">IFERROR(VLOOKUP(E107,Avaluacio[],COLUMN(Avaluacio[% compliment]),FALSE),"")</f>
        <v>1</v>
      </c>
    </row>
    <row r="108" spans="1:13" ht="28.5" x14ac:dyDescent="0.2">
      <c r="A108" t="str">
        <f t="array" ref="A108">IFERROR(IF(VLOOKUP($E108,Avaluacio[],COLUMN(Avaluacio[Codi ítem]),FALSE)=$E108,'1_Plantejament'!$B$5,""),"")</f>
        <v xml:space="preserve">Ajuntament de la Tallada d'Empordà </v>
      </c>
      <c r="B108">
        <f t="array" ref="B108">IFERROR(IF(VLOOKUP($E108,Avaluacio[],COLUMN(Avaluacio[Codi ítem]),FALSE)=$E108,'1_Plantejament'!$B$9,""),"")</f>
        <v>2026</v>
      </c>
      <c r="C108">
        <f t="array" ref="C108">IFERROR(IF(VLOOKUP($E108,Avaluacio[],COLUMN(Avaluacio[Codi ítem]),FALSE)=$E108,'1_Plantejament'!$B$10,""),"")</f>
        <v>46205</v>
      </c>
      <c r="D108" s="6" t="str">
        <f t="array" ref="D108">IFERROR(IF(VLOOKUP($E108,Avaluacio[],COLUMN(Avaluacio[Codi ítem]),FALSE)=$E108,'1_Plantejament'!$B$7,""),"")</f>
        <v>Fase 5</v>
      </c>
      <c r="E108" s="6" t="str">
        <f t="array" ref="E108">IFERROR(INDEX(Avaluacio[Codi ítem],(MATCH(0,INDEX(COUNTIF(E$1:E107,Avaluacio[Codi ítem]),0,0)+INDEX(Avaluacio[Avaluable]="No",0,0),0))),"")</f>
        <v>XGO108</v>
      </c>
      <c r="F108" s="45" t="str">
        <f t="array" ref="F108">IFERROR(VLOOKUP(E108,Avaluacio[],COLUMN(Avaluacio[Ítem]),FALSE),"")</f>
        <v>Endeutament</v>
      </c>
      <c r="G108" t="str">
        <f t="array" ref="G108">IFERROR(VLOOKUP(E108,Avaluacio[],COLUMN(Avaluacio[Família]),FALSE),"")</f>
        <v>Gestió econòmica</v>
      </c>
      <c r="H108" t="str">
        <f t="array" ref="H108">IFERROR(VLOOKUP(E108,Avaluacio[],COLUMN(Avaluacio[Subfamília]),FALSE),"")</f>
        <v>Gestió econòmica</v>
      </c>
      <c r="I108" s="6" t="str">
        <f t="array" ref="I108">IFERROR(VLOOKUP(E108,Avaluacio[],COLUMN(Avaluacio[Contingut]),FALSE),"")</f>
        <v>Sí</v>
      </c>
      <c r="J108" s="6" t="str">
        <f t="array" ref="J108">IFERROR(VLOOKUP(E108,Avaluacio[],COLUMN(Avaluacio[Actualització]),FALSE),"")</f>
        <v>Sí</v>
      </c>
      <c r="K108" s="6" t="str">
        <f t="array" ref="K108">IFERROR(VLOOKUP(E108,Avaluacio[],COLUMN(#REF!),FALSE),"")</f>
        <v/>
      </c>
      <c r="L108" t="str">
        <f t="array" ref="L108">IFERROR(VLOOKUP(E108,Avaluacio[],COLUMN(Avaluacio[Grau de compliment]),FALSE),"")</f>
        <v>Compleix totalment</v>
      </c>
      <c r="M108" s="8">
        <f t="array" ref="M108">IFERROR(VLOOKUP(E108,Avaluacio[],COLUMN(Avaluacio[% compliment]),FALSE),"")</f>
        <v>1</v>
      </c>
    </row>
    <row r="109" spans="1:13" ht="30" x14ac:dyDescent="0.2">
      <c r="A109" t="str">
        <f t="array" ref="A109">IFERROR(IF(VLOOKUP($E109,Avaluacio[],COLUMN(Avaluacio[Codi ítem]),FALSE)=$E109,'1_Plantejament'!$B$5,""),"")</f>
        <v xml:space="preserve">Ajuntament de la Tallada d'Empordà </v>
      </c>
      <c r="B109">
        <f t="array" ref="B109">IFERROR(IF(VLOOKUP($E109,Avaluacio[],COLUMN(Avaluacio[Codi ítem]),FALSE)=$E109,'1_Plantejament'!$B$9,""),"")</f>
        <v>2026</v>
      </c>
      <c r="C109">
        <f t="array" ref="C109">IFERROR(IF(VLOOKUP($E109,Avaluacio[],COLUMN(Avaluacio[Codi ítem]),FALSE)=$E109,'1_Plantejament'!$B$10,""),"")</f>
        <v>46205</v>
      </c>
      <c r="D109" s="6" t="str">
        <f t="array" ref="D109">IFERROR(IF(VLOOKUP($E109,Avaluacio[],COLUMN(Avaluacio[Codi ítem]),FALSE)=$E109,'1_Plantejament'!$B$7,""),"")</f>
        <v>Fase 5</v>
      </c>
      <c r="E109" s="6" t="str">
        <f t="array" ref="E109">IFERROR(INDEX(Avaluacio[Codi ítem],(MATCH(0,INDEX(COUNTIF(E$1:E108,Avaluacio[Codi ítem]),0,0)+INDEX(Avaluacio[Avaluable]="No",0,0),0))),"")</f>
        <v>XGO109</v>
      </c>
      <c r="F109" s="45" t="str">
        <f t="array" ref="F109">IFERROR(VLOOKUP(E109,Avaluacio[],COLUMN(Avaluacio[Ítem]),FALSE),"")</f>
        <v>Període mitjà de Pagament a Proveïdors (PMP)</v>
      </c>
      <c r="G109" t="str">
        <f t="array" ref="G109">IFERROR(VLOOKUP(E109,Avaluacio[],COLUMN(Avaluacio[Família]),FALSE),"")</f>
        <v>Gestió econòmica</v>
      </c>
      <c r="H109" t="str">
        <f t="array" ref="H109">IFERROR(VLOOKUP(E109,Avaluacio[],COLUMN(Avaluacio[Subfamília]),FALSE),"")</f>
        <v>Gestió econòmica</v>
      </c>
      <c r="I109" s="6" t="str">
        <f t="array" ref="I109">IFERROR(VLOOKUP(E109,Avaluacio[],COLUMN(Avaluacio[Contingut]),FALSE),"")</f>
        <v>Sí</v>
      </c>
      <c r="J109" s="6" t="str">
        <f t="array" ref="J109">IFERROR(VLOOKUP(E109,Avaluacio[],COLUMN(Avaluacio[Actualització]),FALSE),"")</f>
        <v>Sí</v>
      </c>
      <c r="K109" s="6" t="str">
        <f t="array" ref="K109">IFERROR(VLOOKUP(E109,Avaluacio[],COLUMN(#REF!),FALSE),"")</f>
        <v/>
      </c>
      <c r="L109" t="str">
        <f t="array" ref="L109">IFERROR(VLOOKUP(E109,Avaluacio[],COLUMN(Avaluacio[Grau de compliment]),FALSE),"")</f>
        <v>Compleix totalment</v>
      </c>
      <c r="M109" s="8">
        <f t="array" ref="M109">IFERROR(VLOOKUP(E109,Avaluacio[],COLUMN(Avaluacio[% compliment]),FALSE),"")</f>
        <v>1</v>
      </c>
    </row>
    <row r="110" spans="1:13" ht="28.5" x14ac:dyDescent="0.2">
      <c r="A110" t="str">
        <f t="array" ref="A110">IFERROR(IF(VLOOKUP($E110,Avaluacio[],COLUMN(Avaluacio[Codi ítem]),FALSE)=$E110,'1_Plantejament'!$B$5,""),"")</f>
        <v xml:space="preserve">Ajuntament de la Tallada d'Empordà </v>
      </c>
      <c r="B110">
        <f t="array" ref="B110">IFERROR(IF(VLOOKUP($E110,Avaluacio[],COLUMN(Avaluacio[Codi ítem]),FALSE)=$E110,'1_Plantejament'!$B$9,""),"")</f>
        <v>2026</v>
      </c>
      <c r="C110">
        <f t="array" ref="C110">IFERROR(IF(VLOOKUP($E110,Avaluacio[],COLUMN(Avaluacio[Codi ítem]),FALSE)=$E110,'1_Plantejament'!$B$10,""),"")</f>
        <v>46205</v>
      </c>
      <c r="D110" s="6" t="str">
        <f t="array" ref="D110">IFERROR(IF(VLOOKUP($E110,Avaluacio[],COLUMN(Avaluacio[Codi ítem]),FALSE)=$E110,'1_Plantejament'!$B$7,""),"")</f>
        <v>Fase 5</v>
      </c>
      <c r="E110" s="6" t="str">
        <f t="array" ref="E110">IFERROR(INDEX(Avaluacio[Codi ítem],(MATCH(0,INDEX(COUNTIF(E$1:E109,Avaluacio[Codi ítem]),0,0)+INDEX(Avaluacio[Avaluable]="No",0,0),0))),"")</f>
        <v>XGO110</v>
      </c>
      <c r="F110" s="45" t="str">
        <f t="array" ref="F110">IFERROR(VLOOKUP(E110,Avaluacio[],COLUMN(Avaluacio[Ítem]),FALSE),"")</f>
        <v>Auditories de comptes</v>
      </c>
      <c r="G110" t="str">
        <f t="array" ref="G110">IFERROR(VLOOKUP(E110,Avaluacio[],COLUMN(Avaluacio[Família]),FALSE),"")</f>
        <v>Gestió econòmica</v>
      </c>
      <c r="H110" t="str">
        <f t="array" ref="H110">IFERROR(VLOOKUP(E110,Avaluacio[],COLUMN(Avaluacio[Subfamília]),FALSE),"")</f>
        <v>Gestió econòmica</v>
      </c>
      <c r="I110" s="6" t="str">
        <f t="array" ref="I110">IFERROR(VLOOKUP(E110,Avaluacio[],COLUMN(Avaluacio[Contingut]),FALSE),"")</f>
        <v>Sí</v>
      </c>
      <c r="J110" s="6" t="str">
        <f t="array" ref="J110">IFERROR(VLOOKUP(E110,Avaluacio[],COLUMN(Avaluacio[Actualització]),FALSE),"")</f>
        <v>Sí</v>
      </c>
      <c r="K110" s="6" t="str">
        <f t="array" ref="K110">IFERROR(VLOOKUP(E110,Avaluacio[],COLUMN(#REF!),FALSE),"")</f>
        <v/>
      </c>
      <c r="L110" t="str">
        <f t="array" ref="L110">IFERROR(VLOOKUP(E110,Avaluacio[],COLUMN(Avaluacio[Grau de compliment]),FALSE),"")</f>
        <v>Compleix totalment</v>
      </c>
      <c r="M110" s="8">
        <f t="array" ref="M110">IFERROR(VLOOKUP(E110,Avaluacio[],COLUMN(Avaluacio[% compliment]),FALSE),"")</f>
        <v>1</v>
      </c>
    </row>
    <row r="111" spans="1:13" ht="30" x14ac:dyDescent="0.2">
      <c r="A111" t="str">
        <f t="array" ref="A111">IFERROR(IF(VLOOKUP($E111,Avaluacio[],COLUMN(Avaluacio[Codi ítem]),FALSE)=$E111,'1_Plantejament'!$B$5,""),"")</f>
        <v xml:space="preserve">Ajuntament de la Tallada d'Empordà </v>
      </c>
      <c r="B111">
        <f t="array" ref="B111">IFERROR(IF(VLOOKUP($E111,Avaluacio[],COLUMN(Avaluacio[Codi ítem]),FALSE)=$E111,'1_Plantejament'!$B$9,""),"")</f>
        <v>2026</v>
      </c>
      <c r="C111">
        <f t="array" ref="C111">IFERROR(IF(VLOOKUP($E111,Avaluacio[],COLUMN(Avaluacio[Codi ítem]),FALSE)=$E111,'1_Plantejament'!$B$10,""),"")</f>
        <v>46205</v>
      </c>
      <c r="D111" s="6" t="str">
        <f t="array" ref="D111">IFERROR(IF(VLOOKUP($E111,Avaluacio[],COLUMN(Avaluacio[Codi ítem]),FALSE)=$E111,'1_Plantejament'!$B$7,""),"")</f>
        <v>Fase 5</v>
      </c>
      <c r="E111" s="6" t="str">
        <f t="array" ref="E111">IFERROR(INDEX(Avaluacio[Codi ítem],(MATCH(0,INDEX(COUNTIF(E$1:E110,Avaluacio[Codi ítem]),0,0)+INDEX(Avaluacio[Avaluable]="No",0,0),0))),"")</f>
        <v>XGO111</v>
      </c>
      <c r="F111" s="45" t="str">
        <f t="array" ref="F111">IFERROR(VLOOKUP(E111,Avaluacio[],COLUMN(Avaluacio[Ítem]),FALSE),"")</f>
        <v>Indicadors de gestió econòmica</v>
      </c>
      <c r="G111" t="str">
        <f t="array" ref="G111">IFERROR(VLOOKUP(E111,Avaluacio[],COLUMN(Avaluacio[Família]),FALSE),"")</f>
        <v>Gestió econòmica</v>
      </c>
      <c r="H111" t="str">
        <f t="array" ref="H111">IFERROR(VLOOKUP(E111,Avaluacio[],COLUMN(Avaluacio[Subfamília]),FALSE),"")</f>
        <v>Gestió econòmica</v>
      </c>
      <c r="I111" s="6" t="str">
        <f t="array" ref="I111">IFERROR(VLOOKUP(E111,Avaluacio[],COLUMN(Avaluacio[Contingut]),FALSE),"")</f>
        <v>Sí</v>
      </c>
      <c r="J111" s="6" t="str">
        <f t="array" ref="J111">IFERROR(VLOOKUP(E111,Avaluacio[],COLUMN(Avaluacio[Actualització]),FALSE),"")</f>
        <v>Sí</v>
      </c>
      <c r="K111" s="6" t="str">
        <f t="array" ref="K111">IFERROR(VLOOKUP(E111,Avaluacio[],COLUMN(#REF!),FALSE),"")</f>
        <v/>
      </c>
      <c r="L111" t="str">
        <f t="array" ref="L111">IFERROR(VLOOKUP(E111,Avaluacio[],COLUMN(Avaluacio[Grau de compliment]),FALSE),"")</f>
        <v>Compleix totalment</v>
      </c>
      <c r="M111" s="8">
        <f t="array" ref="M111">IFERROR(VLOOKUP(E111,Avaluacio[],COLUMN(Avaluacio[% compliment]),FALSE),"")</f>
        <v>1</v>
      </c>
    </row>
    <row r="112" spans="1:13" ht="28.5" x14ac:dyDescent="0.2">
      <c r="A112" t="str">
        <f t="array" ref="A112">IFERROR(IF(VLOOKUP($E112,Avaluacio[],COLUMN(Avaluacio[Codi ítem]),FALSE)=$E112,'1_Plantejament'!$B$5,""),"")</f>
        <v xml:space="preserve">Ajuntament de la Tallada d'Empordà </v>
      </c>
      <c r="B112">
        <f t="array" ref="B112">IFERROR(IF(VLOOKUP($E112,Avaluacio[],COLUMN(Avaluacio[Codi ítem]),FALSE)=$E112,'1_Plantejament'!$B$9,""),"")</f>
        <v>2026</v>
      </c>
      <c r="C112">
        <f t="array" ref="C112">IFERROR(IF(VLOOKUP($E112,Avaluacio[],COLUMN(Avaluacio[Codi ítem]),FALSE)=$E112,'1_Plantejament'!$B$10,""),"")</f>
        <v>46205</v>
      </c>
      <c r="D112" s="6" t="str">
        <f t="array" ref="D112">IFERROR(IF(VLOOKUP($E112,Avaluacio[],COLUMN(Avaluacio[Codi ítem]),FALSE)=$E112,'1_Plantejament'!$B$7,""),"")</f>
        <v>Fase 5</v>
      </c>
      <c r="E112" s="6" t="str">
        <f t="array" ref="E112">IFERROR(INDEX(Avaluacio[Codi ítem],(MATCH(0,INDEX(COUNTIF(E$1:E111,Avaluacio[Codi ítem]),0,0)+INDEX(Avaluacio[Avaluable]="No",0,0),0))),"")</f>
        <v>XGO112</v>
      </c>
      <c r="F112" s="45" t="str">
        <f t="array" ref="F112">IFERROR(VLOOKUP(E112,Avaluacio[],COLUMN(Avaluacio[Ítem]),FALSE),"")</f>
        <v>Cost efectiu dels serveis</v>
      </c>
      <c r="G112" t="str">
        <f t="array" ref="G112">IFERROR(VLOOKUP(E112,Avaluacio[],COLUMN(Avaluacio[Família]),FALSE),"")</f>
        <v>Gestió econòmica</v>
      </c>
      <c r="H112" t="str">
        <f t="array" ref="H112">IFERROR(VLOOKUP(E112,Avaluacio[],COLUMN(Avaluacio[Subfamília]),FALSE),"")</f>
        <v>Gestió econòmica</v>
      </c>
      <c r="I112" s="6" t="str">
        <f t="array" ref="I112">IFERROR(VLOOKUP(E112,Avaluacio[],COLUMN(Avaluacio[Contingut]),FALSE),"")</f>
        <v>Sí</v>
      </c>
      <c r="J112" s="6" t="str">
        <f t="array" ref="J112">IFERROR(VLOOKUP(E112,Avaluacio[],COLUMN(Avaluacio[Actualització]),FALSE),"")</f>
        <v>Sí</v>
      </c>
      <c r="K112" s="6" t="str">
        <f t="array" ref="K112">IFERROR(VLOOKUP(E112,Avaluacio[],COLUMN(#REF!),FALSE),"")</f>
        <v/>
      </c>
      <c r="L112" t="str">
        <f t="array" ref="L112">IFERROR(VLOOKUP(E112,Avaluacio[],COLUMN(Avaluacio[Grau de compliment]),FALSE),"")</f>
        <v>Compleix totalment</v>
      </c>
      <c r="M112" s="8">
        <f t="array" ref="M112">IFERROR(VLOOKUP(E112,Avaluacio[],COLUMN(Avaluacio[% compliment]),FALSE),"")</f>
        <v>1</v>
      </c>
    </row>
    <row r="113" spans="1:13" ht="28.5" x14ac:dyDescent="0.2">
      <c r="A113" t="str">
        <f t="array" ref="A113">IFERROR(IF(VLOOKUP($E113,Avaluacio[],COLUMN(Avaluacio[Codi ítem]),FALSE)=$E113,'1_Plantejament'!$B$5,""),"")</f>
        <v xml:space="preserve">Ajuntament de la Tallada d'Empordà </v>
      </c>
      <c r="B113">
        <f t="array" ref="B113">IFERROR(IF(VLOOKUP($E113,Avaluacio[],COLUMN(Avaluacio[Codi ítem]),FALSE)=$E113,'1_Plantejament'!$B$9,""),"")</f>
        <v>2026</v>
      </c>
      <c r="C113">
        <f t="array" ref="C113">IFERROR(IF(VLOOKUP($E113,Avaluacio[],COLUMN(Avaluacio[Codi ítem]),FALSE)=$E113,'1_Plantejament'!$B$10,""),"")</f>
        <v>46205</v>
      </c>
      <c r="D113" s="6" t="str">
        <f t="array" ref="D113">IFERROR(IF(VLOOKUP($E113,Avaluacio[],COLUMN(Avaluacio[Codi ítem]),FALSE)=$E113,'1_Plantejament'!$B$7,""),"")</f>
        <v>Fase 5</v>
      </c>
      <c r="E113" s="6" t="str">
        <f t="array" ref="E113">IFERROR(INDEX(Avaluacio[Codi ítem],(MATCH(0,INDEX(COUNTIF(E$1:E112,Avaluacio[Codi ítem]),0,0)+INDEX(Avaluacio[Avaluable]="No",0,0),0))),"")</f>
        <v>XGO113</v>
      </c>
      <c r="F113" s="45" t="str">
        <f t="array" ref="F113">IFERROR(VLOOKUP(E113,Avaluacio[],COLUMN(Avaluacio[Ítem]),FALSE),"")</f>
        <v>Pla anual de control financer</v>
      </c>
      <c r="G113" t="str">
        <f t="array" ref="G113">IFERROR(VLOOKUP(E113,Avaluacio[],COLUMN(Avaluacio[Família]),FALSE),"")</f>
        <v>Gestió econòmica</v>
      </c>
      <c r="H113" t="str">
        <f t="array" ref="H113">IFERROR(VLOOKUP(E113,Avaluacio[],COLUMN(Avaluacio[Subfamília]),FALSE),"")</f>
        <v>Gestió econòmica</v>
      </c>
      <c r="I113" s="6" t="str">
        <f t="array" ref="I113">IFERROR(VLOOKUP(E113,Avaluacio[],COLUMN(Avaluacio[Contingut]),FALSE),"")</f>
        <v>Sí</v>
      </c>
      <c r="J113" s="6" t="str">
        <f t="array" ref="J113">IFERROR(VLOOKUP(E113,Avaluacio[],COLUMN(Avaluacio[Actualització]),FALSE),"")</f>
        <v>Sí</v>
      </c>
      <c r="K113" s="6" t="str">
        <f t="array" ref="K113">IFERROR(VLOOKUP(E113,Avaluacio[],COLUMN(#REF!),FALSE),"")</f>
        <v/>
      </c>
      <c r="L113" t="str">
        <f t="array" ref="L113">IFERROR(VLOOKUP(E113,Avaluacio[],COLUMN(Avaluacio[Grau de compliment]),FALSE),"")</f>
        <v>Compleix totalment</v>
      </c>
      <c r="M113" s="8">
        <f t="array" ref="M113">IFERROR(VLOOKUP(E113,Avaluacio[],COLUMN(Avaluacio[% compliment]),FALSE),"")</f>
        <v>1</v>
      </c>
    </row>
    <row r="114" spans="1:13" ht="30" x14ac:dyDescent="0.2">
      <c r="A114" t="str">
        <f t="array" ref="A114">IFERROR(IF(VLOOKUP($E114,Avaluacio[],COLUMN(Avaluacio[Codi ítem]),FALSE)=$E114,'1_Plantejament'!$B$5,""),"")</f>
        <v xml:space="preserve">Ajuntament de la Tallada d'Empordà </v>
      </c>
      <c r="B114">
        <f t="array" ref="B114">IFERROR(IF(VLOOKUP($E114,Avaluacio[],COLUMN(Avaluacio[Codi ítem]),FALSE)=$E114,'1_Plantejament'!$B$9,""),"")</f>
        <v>2026</v>
      </c>
      <c r="C114">
        <f t="array" ref="C114">IFERROR(IF(VLOOKUP($E114,Avaluacio[],COLUMN(Avaluacio[Codi ítem]),FALSE)=$E114,'1_Plantejament'!$B$10,""),"")</f>
        <v>46205</v>
      </c>
      <c r="D114" s="6" t="str">
        <f t="array" ref="D114">IFERROR(IF(VLOOKUP($E114,Avaluacio[],COLUMN(Avaluacio[Codi ítem]),FALSE)=$E114,'1_Plantejament'!$B$7,""),"")</f>
        <v>Fase 5</v>
      </c>
      <c r="E114" s="6" t="str">
        <f t="array" ref="E114">IFERROR(INDEX(Avaluacio[Codi ítem],(MATCH(0,INDEX(COUNTIF(E$1:E113,Avaluacio[Codi ítem]),0,0)+INDEX(Avaluacio[Avaluable]="No",0,0),0))),"")</f>
        <v>XGO114</v>
      </c>
      <c r="F114" s="45" t="str">
        <f t="array" ref="F114">IFERROR(VLOOKUP(E114,Avaluacio[],COLUMN(Avaluacio[Ítem]),FALSE),"")</f>
        <v>Inventari general del patrimoni</v>
      </c>
      <c r="G114" t="str">
        <f t="array" ref="G114">IFERROR(VLOOKUP(E114,Avaluacio[],COLUMN(Avaluacio[Família]),FALSE),"")</f>
        <v>Gestió econòmica</v>
      </c>
      <c r="H114" t="str">
        <f t="array" ref="H114">IFERROR(VLOOKUP(E114,Avaluacio[],COLUMN(Avaluacio[Subfamília]),FALSE),"")</f>
        <v>Patrimoni</v>
      </c>
      <c r="I114" s="6" t="str">
        <f t="array" ref="I114">IFERROR(VLOOKUP(E114,Avaluacio[],COLUMN(Avaluacio[Contingut]),FALSE),"")</f>
        <v>No</v>
      </c>
      <c r="J114" s="6" t="str">
        <f t="array" ref="J114">IFERROR(VLOOKUP(E114,Avaluacio[],COLUMN(Avaluacio[Actualització]),FALSE),"")</f>
        <v>No</v>
      </c>
      <c r="K114" s="6" t="str">
        <f t="array" ref="K114">IFERROR(VLOOKUP(E114,Avaluacio[],COLUMN(#REF!),FALSE),"")</f>
        <v/>
      </c>
      <c r="L114" t="str">
        <f t="array" ref="L114">IFERROR(VLOOKUP(E114,Avaluacio[],COLUMN(Avaluacio[Grau de compliment]),FALSE),"")</f>
        <v>No compleix</v>
      </c>
      <c r="M114" s="8">
        <f t="array" ref="M114">IFERROR(VLOOKUP(E114,Avaluacio[],COLUMN(Avaluacio[% compliment]),FALSE),"")</f>
        <v>0</v>
      </c>
    </row>
    <row r="115" spans="1:13" ht="30" x14ac:dyDescent="0.2">
      <c r="A115" t="str">
        <f t="array" ref="A115">IFERROR(IF(VLOOKUP($E115,Avaluacio[],COLUMN(Avaluacio[Codi ítem]),FALSE)=$E115,'1_Plantejament'!$B$5,""),"")</f>
        <v xml:space="preserve">Ajuntament de la Tallada d'Empordà </v>
      </c>
      <c r="B115">
        <f t="array" ref="B115">IFERROR(IF(VLOOKUP($E115,Avaluacio[],COLUMN(Avaluacio[Codi ítem]),FALSE)=$E115,'1_Plantejament'!$B$9,""),"")</f>
        <v>2026</v>
      </c>
      <c r="C115">
        <f t="array" ref="C115">IFERROR(IF(VLOOKUP($E115,Avaluacio[],COLUMN(Avaluacio[Codi ítem]),FALSE)=$E115,'1_Plantejament'!$B$10,""),"")</f>
        <v>46205</v>
      </c>
      <c r="D115" s="6" t="str">
        <f t="array" ref="D115">IFERROR(IF(VLOOKUP($E115,Avaluacio[],COLUMN(Avaluacio[Codi ítem]),FALSE)=$E115,'1_Plantejament'!$B$7,""),"")</f>
        <v>Fase 5</v>
      </c>
      <c r="E115" s="6" t="str">
        <f t="array" ref="E115">IFERROR(INDEX(Avaluacio[Codi ítem],(MATCH(0,INDEX(COUNTIF(E$1:E114,Avaluacio[Codi ítem]),0,0)+INDEX(Avaluacio[Avaluable]="No",0,0),0))),"")</f>
        <v>XGO115</v>
      </c>
      <c r="F115" s="45" t="str">
        <f t="array" ref="F115">IFERROR(VLOOKUP(E115,Avaluacio[],COLUMN(Avaluacio[Ítem]),FALSE),"")</f>
        <v>Inventari de béns mobles de valor històric i artístic</v>
      </c>
      <c r="G115" t="str">
        <f t="array" ref="G115">IFERROR(VLOOKUP(E115,Avaluacio[],COLUMN(Avaluacio[Família]),FALSE),"")</f>
        <v>Gestió econòmica</v>
      </c>
      <c r="H115" t="str">
        <f t="array" ref="H115">IFERROR(VLOOKUP(E115,Avaluacio[],COLUMN(Avaluacio[Subfamília]),FALSE),"")</f>
        <v>Patrimoni</v>
      </c>
      <c r="I115" s="6" t="str">
        <f t="array" ref="I115">IFERROR(VLOOKUP(E115,Avaluacio[],COLUMN(Avaluacio[Contingut]),FALSE),"")</f>
        <v>No</v>
      </c>
      <c r="J115" s="6" t="str">
        <f t="array" ref="J115">IFERROR(VLOOKUP(E115,Avaluacio[],COLUMN(Avaluacio[Actualització]),FALSE),"")</f>
        <v>No</v>
      </c>
      <c r="K115" s="6" t="str">
        <f t="array" ref="K115">IFERROR(VLOOKUP(E115,Avaluacio[],COLUMN(#REF!),FALSE),"")</f>
        <v/>
      </c>
      <c r="L115" t="str">
        <f t="array" ref="L115">IFERROR(VLOOKUP(E115,Avaluacio[],COLUMN(Avaluacio[Grau de compliment]),FALSE),"")</f>
        <v>No compleix</v>
      </c>
      <c r="M115" s="8">
        <f t="array" ref="M115">IFERROR(VLOOKUP(E115,Avaluacio[],COLUMN(Avaluacio[% compliment]),FALSE),"")</f>
        <v>0</v>
      </c>
    </row>
    <row r="116" spans="1:13" ht="30" x14ac:dyDescent="0.2">
      <c r="A116" t="str">
        <f t="array" ref="A116">IFERROR(IF(VLOOKUP($E116,Avaluacio[],COLUMN(Avaluacio[Codi ítem]),FALSE)=$E116,'1_Plantejament'!$B$5,""),"")</f>
        <v xml:space="preserve">Ajuntament de la Tallada d'Empordà </v>
      </c>
      <c r="B116">
        <f t="array" ref="B116">IFERROR(IF(VLOOKUP($E116,Avaluacio[],COLUMN(Avaluacio[Codi ítem]),FALSE)=$E116,'1_Plantejament'!$B$9,""),"")</f>
        <v>2026</v>
      </c>
      <c r="C116">
        <f t="array" ref="C116">IFERROR(IF(VLOOKUP($E116,Avaluacio[],COLUMN(Avaluacio[Codi ítem]),FALSE)=$E116,'1_Plantejament'!$B$10,""),"")</f>
        <v>46205</v>
      </c>
      <c r="D116" s="6" t="str">
        <f t="array" ref="D116">IFERROR(IF(VLOOKUP($E116,Avaluacio[],COLUMN(Avaluacio[Codi ítem]),FALSE)=$E116,'1_Plantejament'!$B$7,""),"")</f>
        <v>Fase 5</v>
      </c>
      <c r="E116" s="6" t="str">
        <f t="array" ref="E116">IFERROR(INDEX(Avaluacio[Codi ítem],(MATCH(0,INDEX(COUNTIF(E$1:E115,Avaluacio[Codi ítem]),0,0)+INDEX(Avaluacio[Avaluable]="No",0,0),0))),"")</f>
        <v>XGO116</v>
      </c>
      <c r="F116" s="45" t="str">
        <f t="array" ref="F116">IFERROR(VLOOKUP(E116,Avaluacio[],COLUMN(Avaluacio[Ítem]),FALSE),"")</f>
        <v>Inventari de vehicles oficials</v>
      </c>
      <c r="G116" t="str">
        <f t="array" ref="G116">IFERROR(VLOOKUP(E116,Avaluacio[],COLUMN(Avaluacio[Família]),FALSE),"")</f>
        <v>Gestió econòmica</v>
      </c>
      <c r="H116" t="str">
        <f t="array" ref="H116">IFERROR(VLOOKUP(E116,Avaluacio[],COLUMN(Avaluacio[Subfamília]),FALSE),"")</f>
        <v>Patrimoni</v>
      </c>
      <c r="I116" s="6" t="str">
        <f t="array" ref="I116">IFERROR(VLOOKUP(E116,Avaluacio[],COLUMN(Avaluacio[Contingut]),FALSE),"")</f>
        <v>Sí</v>
      </c>
      <c r="J116" s="6" t="str">
        <f t="array" ref="J116">IFERROR(VLOOKUP(E116,Avaluacio[],COLUMN(Avaluacio[Actualització]),FALSE),"")</f>
        <v>Sí</v>
      </c>
      <c r="K116" s="6" t="str">
        <f t="array" ref="K116">IFERROR(VLOOKUP(E116,Avaluacio[],COLUMN(#REF!),FALSE),"")</f>
        <v/>
      </c>
      <c r="L116" t="str">
        <f t="array" ref="L116">IFERROR(VLOOKUP(E116,Avaluacio[],COLUMN(Avaluacio[Grau de compliment]),FALSE),"")</f>
        <v>Compleix totalment</v>
      </c>
      <c r="M116" s="8">
        <f t="array" ref="M116">IFERROR(VLOOKUP(E116,Avaluacio[],COLUMN(Avaluacio[% compliment]),FALSE),"")</f>
        <v>1</v>
      </c>
    </row>
    <row r="117" spans="1:13" ht="30" x14ac:dyDescent="0.2">
      <c r="A117" t="str">
        <f t="array" ref="A117">IFERROR(IF(VLOOKUP($E117,Avaluacio[],COLUMN(Avaluacio[Codi ítem]),FALSE)=$E117,'1_Plantejament'!$B$5,""),"")</f>
        <v xml:space="preserve">Ajuntament de la Tallada d'Empordà </v>
      </c>
      <c r="B117">
        <f t="array" ref="B117">IFERROR(IF(VLOOKUP($E117,Avaluacio[],COLUMN(Avaluacio[Codi ítem]),FALSE)=$E117,'1_Plantejament'!$B$9,""),"")</f>
        <v>2026</v>
      </c>
      <c r="C117">
        <f t="array" ref="C117">IFERROR(IF(VLOOKUP($E117,Avaluacio[],COLUMN(Avaluacio[Codi ítem]),FALSE)=$E117,'1_Plantejament'!$B$10,""),"")</f>
        <v>46205</v>
      </c>
      <c r="D117" s="6" t="str">
        <f t="array" ref="D117">IFERROR(IF(VLOOKUP($E117,Avaluacio[],COLUMN(Avaluacio[Codi ítem]),FALSE)=$E117,'1_Plantejament'!$B$7,""),"")</f>
        <v>Fase 5</v>
      </c>
      <c r="E117" s="6" t="str">
        <f t="array" ref="E117">IFERROR(INDEX(Avaluacio[Codi ítem],(MATCH(0,INDEX(COUNTIF(E$1:E116,Avaluacio[Codi ítem]),0,0)+INDEX(Avaluacio[Avaluable]="No",0,0),0))),"")</f>
        <v>XGO117</v>
      </c>
      <c r="F117" s="45" t="str">
        <f t="array" ref="F117">IFERROR(VLOOKUP(E117,Avaluacio[],COLUMN(Avaluacio[Ítem]),FALSE),"")</f>
        <v>Informació relativa a la gestió del patrimoni</v>
      </c>
      <c r="G117" t="str">
        <f t="array" ref="G117">IFERROR(VLOOKUP(E117,Avaluacio[],COLUMN(Avaluacio[Família]),FALSE),"")</f>
        <v>Gestió econòmica</v>
      </c>
      <c r="H117" t="str">
        <f t="array" ref="H117">IFERROR(VLOOKUP(E117,Avaluacio[],COLUMN(Avaluacio[Subfamília]),FALSE),"")</f>
        <v>Patrimoni</v>
      </c>
      <c r="I117" s="6" t="str">
        <f t="array" ref="I117">IFERROR(VLOOKUP(E117,Avaluacio[],COLUMN(Avaluacio[Contingut]),FALSE),"")</f>
        <v>Sí</v>
      </c>
      <c r="J117" s="6" t="str">
        <f t="array" ref="J117">IFERROR(VLOOKUP(E117,Avaluacio[],COLUMN(Avaluacio[Actualització]),FALSE),"")</f>
        <v>Sí</v>
      </c>
      <c r="K117" s="6" t="str">
        <f t="array" ref="K117">IFERROR(VLOOKUP(E117,Avaluacio[],COLUMN(#REF!),FALSE),"")</f>
        <v/>
      </c>
      <c r="L117" t="str">
        <f t="array" ref="L117">IFERROR(VLOOKUP(E117,Avaluacio[],COLUMN(Avaluacio[Grau de compliment]),FALSE),"")</f>
        <v>Compleix totalment</v>
      </c>
      <c r="M117" s="8">
        <f t="array" ref="M117">IFERROR(VLOOKUP(E117,Avaluacio[],COLUMN(Avaluacio[% compliment]),FALSE),"")</f>
        <v>1</v>
      </c>
    </row>
    <row r="118" spans="1:13" ht="28.5" x14ac:dyDescent="0.2">
      <c r="A118" t="str">
        <f t="array" ref="A118">IFERROR(IF(VLOOKUP($E118,Avaluacio[],COLUMN(Avaluacio[Codi ítem]),FALSE)=$E118,'1_Plantejament'!$B$5,""),"")</f>
        <v xml:space="preserve">Ajuntament de la Tallada d'Empordà </v>
      </c>
      <c r="B118">
        <f t="array" ref="B118">IFERROR(IF(VLOOKUP($E118,Avaluacio[],COLUMN(Avaluacio[Codi ítem]),FALSE)=$E118,'1_Plantejament'!$B$9,""),"")</f>
        <v>2026</v>
      </c>
      <c r="C118">
        <f t="array" ref="C118">IFERROR(IF(VLOOKUP($E118,Avaluacio[],COLUMN(Avaluacio[Codi ítem]),FALSE)=$E118,'1_Plantejament'!$B$10,""),"")</f>
        <v>46205</v>
      </c>
      <c r="D118" s="6" t="str">
        <f t="array" ref="D118">IFERROR(IF(VLOOKUP($E118,Avaluacio[],COLUMN(Avaluacio[Codi ítem]),FALSE)=$E118,'1_Plantejament'!$B$7,""),"")</f>
        <v>Fase 5</v>
      </c>
      <c r="E118" s="6" t="str">
        <f t="array" ref="E118">IFERROR(INDEX(Avaluacio[Codi ítem],(MATCH(0,INDEX(COUNTIF(E$1:E117,Avaluacio[Codi ítem]),0,0)+INDEX(Avaluacio[Avaluable]="No",0,0),0))),"")</f>
        <v>XGO118</v>
      </c>
      <c r="F118" s="45" t="str">
        <f t="array" ref="F118">IFERROR(VLOOKUP(E118,Avaluacio[],COLUMN(Avaluacio[Ítem]),FALSE),"")</f>
        <v>Incidències de serveis</v>
      </c>
      <c r="G118" t="str">
        <f t="array" ref="G118">IFERROR(VLOOKUP(E118,Avaluacio[],COLUMN(Avaluacio[Família]),FALSE),"")</f>
        <v>Serveis i tràmits</v>
      </c>
      <c r="H118" t="str">
        <f t="array" ref="H118">IFERROR(VLOOKUP(E118,Avaluacio[],COLUMN(Avaluacio[Subfamília]),FALSE),"")</f>
        <v>Estat dels serveis</v>
      </c>
      <c r="I118" s="6" t="str">
        <f t="array" ref="I118">IFERROR(VLOOKUP(E118,Avaluacio[],COLUMN(Avaluacio[Contingut]),FALSE),"")</f>
        <v>Sí</v>
      </c>
      <c r="J118" s="6" t="str">
        <f t="array" ref="J118">IFERROR(VLOOKUP(E118,Avaluacio[],COLUMN(Avaluacio[Actualització]),FALSE),"")</f>
        <v>Sí</v>
      </c>
      <c r="K118" s="6" t="str">
        <f t="array" ref="K118">IFERROR(VLOOKUP(E118,Avaluacio[],COLUMN(#REF!),FALSE),"")</f>
        <v/>
      </c>
      <c r="L118" t="str">
        <f t="array" ref="L118">IFERROR(VLOOKUP(E118,Avaluacio[],COLUMN(Avaluacio[Grau de compliment]),FALSE),"")</f>
        <v>Compleix totalment</v>
      </c>
      <c r="M118" s="8">
        <f t="array" ref="M118">IFERROR(VLOOKUP(E118,Avaluacio[],COLUMN(Avaluacio[% compliment]),FALSE),"")</f>
        <v>1</v>
      </c>
    </row>
    <row r="119" spans="1:13" ht="28.5" x14ac:dyDescent="0.2">
      <c r="A119" t="str">
        <f t="array" ref="A119">IFERROR(IF(VLOOKUP($E119,Avaluacio[],COLUMN(Avaluacio[Codi ítem]),FALSE)=$E119,'1_Plantejament'!$B$5,""),"")</f>
        <v xml:space="preserve">Ajuntament de la Tallada d'Empordà </v>
      </c>
      <c r="B119">
        <f t="array" ref="B119">IFERROR(IF(VLOOKUP($E119,Avaluacio[],COLUMN(Avaluacio[Codi ítem]),FALSE)=$E119,'1_Plantejament'!$B$9,""),"")</f>
        <v>2026</v>
      </c>
      <c r="C119">
        <f t="array" ref="C119">IFERROR(IF(VLOOKUP($E119,Avaluacio[],COLUMN(Avaluacio[Codi ítem]),FALSE)=$E119,'1_Plantejament'!$B$10,""),"")</f>
        <v>46205</v>
      </c>
      <c r="D119" s="6" t="str">
        <f t="array" ref="D119">IFERROR(IF(VLOOKUP($E119,Avaluacio[],COLUMN(Avaluacio[Codi ítem]),FALSE)=$E119,'1_Plantejament'!$B$7,""),"")</f>
        <v>Fase 5</v>
      </c>
      <c r="E119" s="6" t="str">
        <f t="array" ref="E119">IFERROR(INDEX(Avaluacio[Codi ítem],(MATCH(0,INDEX(COUNTIF(E$1:E118,Avaluacio[Codi ítem]),0,0)+INDEX(Avaluacio[Avaluable]="No",0,0),0))),"")</f>
        <v>XGO119</v>
      </c>
      <c r="F119" s="45" t="str">
        <f t="array" ref="F119">IFERROR(VLOOKUP(E119,Avaluacio[],COLUMN(Avaluacio[Ítem]),FALSE),"")</f>
        <v>Incidències de trànsit</v>
      </c>
      <c r="G119" t="str">
        <f t="array" ref="G119">IFERROR(VLOOKUP(E119,Avaluacio[],COLUMN(Avaluacio[Família]),FALSE),"")</f>
        <v>Serveis i tràmits</v>
      </c>
      <c r="H119" t="str">
        <f t="array" ref="H119">IFERROR(VLOOKUP(E119,Avaluacio[],COLUMN(Avaluacio[Subfamília]),FALSE),"")</f>
        <v>Estat dels serveis</v>
      </c>
      <c r="I119" s="6" t="str">
        <f t="array" ref="I119">IFERROR(VLOOKUP(E119,Avaluacio[],COLUMN(Avaluacio[Contingut]),FALSE),"")</f>
        <v>Sí</v>
      </c>
      <c r="J119" s="6" t="str">
        <f t="array" ref="J119">IFERROR(VLOOKUP(E119,Avaluacio[],COLUMN(Avaluacio[Actualització]),FALSE),"")</f>
        <v>Sí</v>
      </c>
      <c r="K119" s="6" t="str">
        <f t="array" ref="K119">IFERROR(VLOOKUP(E119,Avaluacio[],COLUMN(#REF!),FALSE),"")</f>
        <v/>
      </c>
      <c r="L119" t="str">
        <f t="array" ref="L119">IFERROR(VLOOKUP(E119,Avaluacio[],COLUMN(Avaluacio[Grau de compliment]),FALSE),"")</f>
        <v>Compleix totalment</v>
      </c>
      <c r="M119" s="8">
        <f t="array" ref="M119">IFERROR(VLOOKUP(E119,Avaluacio[],COLUMN(Avaluacio[% compliment]),FALSE),"")</f>
        <v>1</v>
      </c>
    </row>
    <row r="120" spans="1:13" ht="30" x14ac:dyDescent="0.2">
      <c r="A120" t="str">
        <f t="array" ref="A120">IFERROR(IF(VLOOKUP($E120,Avaluacio[],COLUMN(Avaluacio[Codi ítem]),FALSE)=$E120,'1_Plantejament'!$B$5,""),"")</f>
        <v xml:space="preserve">Ajuntament de la Tallada d'Empordà </v>
      </c>
      <c r="B120">
        <f t="array" ref="B120">IFERROR(IF(VLOOKUP($E120,Avaluacio[],COLUMN(Avaluacio[Codi ítem]),FALSE)=$E120,'1_Plantejament'!$B$9,""),"")</f>
        <v>2026</v>
      </c>
      <c r="C120">
        <f t="array" ref="C120">IFERROR(IF(VLOOKUP($E120,Avaluacio[],COLUMN(Avaluacio[Codi ítem]),FALSE)=$E120,'1_Plantejament'!$B$10,""),"")</f>
        <v>46205</v>
      </c>
      <c r="D120" s="6" t="str">
        <f t="array" ref="D120">IFERROR(IF(VLOOKUP($E120,Avaluacio[],COLUMN(Avaluacio[Codi ítem]),FALSE)=$E120,'1_Plantejament'!$B$7,""),"")</f>
        <v>Fase 5</v>
      </c>
      <c r="E120" s="6" t="str">
        <f t="array" ref="E120">IFERROR(INDEX(Avaluacio[Codi ítem],(MATCH(0,INDEX(COUNTIF(E$1:E119,Avaluacio[Codi ítem]),0,0)+INDEX(Avaluacio[Avaluable]="No",0,0),0))),"")</f>
        <v>XGO120</v>
      </c>
      <c r="F120" s="45" t="str">
        <f t="array" ref="F120">IFERROR(VLOOKUP(E120,Avaluacio[],COLUMN(Avaluacio[Ítem]),FALSE),"")</f>
        <v>Informació de la contaminació de l'aire</v>
      </c>
      <c r="G120" t="str">
        <f t="array" ref="G120">IFERROR(VLOOKUP(E120,Avaluacio[],COLUMN(Avaluacio[Família]),FALSE),"")</f>
        <v>Serveis i tràmits</v>
      </c>
      <c r="H120" t="str">
        <f t="array" ref="H120">IFERROR(VLOOKUP(E120,Avaluacio[],COLUMN(Avaluacio[Subfamília]),FALSE),"")</f>
        <v>Estat dels serveis</v>
      </c>
      <c r="I120" s="6" t="str">
        <f t="array" ref="I120">IFERROR(VLOOKUP(E120,Avaluacio[],COLUMN(Avaluacio[Contingut]),FALSE),"")</f>
        <v>Sí</v>
      </c>
      <c r="J120" s="6" t="str">
        <f t="array" ref="J120">IFERROR(VLOOKUP(E120,Avaluacio[],COLUMN(Avaluacio[Actualització]),FALSE),"")</f>
        <v>Sí</v>
      </c>
      <c r="K120" s="6" t="str">
        <f t="array" ref="K120">IFERROR(VLOOKUP(E120,Avaluacio[],COLUMN(#REF!),FALSE),"")</f>
        <v/>
      </c>
      <c r="L120" t="str">
        <f t="array" ref="L120">IFERROR(VLOOKUP(E120,Avaluacio[],COLUMN(Avaluacio[Grau de compliment]),FALSE),"")</f>
        <v>Compleix totalment</v>
      </c>
      <c r="M120" s="8">
        <f t="array" ref="M120">IFERROR(VLOOKUP(E120,Avaluacio[],COLUMN(Avaluacio[% compliment]),FALSE),"")</f>
        <v>1</v>
      </c>
    </row>
    <row r="121" spans="1:13" ht="30" x14ac:dyDescent="0.2">
      <c r="A121" t="str">
        <f t="array" ref="A121">IFERROR(IF(VLOOKUP($E121,Avaluacio[],COLUMN(Avaluacio[Codi ítem]),FALSE)=$E121,'1_Plantejament'!$B$5,""),"")</f>
        <v xml:space="preserve">Ajuntament de la Tallada d'Empordà </v>
      </c>
      <c r="B121">
        <f t="array" ref="B121">IFERROR(IF(VLOOKUP($E121,Avaluacio[],COLUMN(Avaluacio[Codi ítem]),FALSE)=$E121,'1_Plantejament'!$B$9,""),"")</f>
        <v>2026</v>
      </c>
      <c r="C121">
        <f t="array" ref="C121">IFERROR(IF(VLOOKUP($E121,Avaluacio[],COLUMN(Avaluacio[Codi ítem]),FALSE)=$E121,'1_Plantejament'!$B$10,""),"")</f>
        <v>46205</v>
      </c>
      <c r="D121" s="6" t="str">
        <f t="array" ref="D121">IFERROR(IF(VLOOKUP($E121,Avaluacio[],COLUMN(Avaluacio[Codi ítem]),FALSE)=$E121,'1_Plantejament'!$B$7,""),"")</f>
        <v>Fase 5</v>
      </c>
      <c r="E121" s="6" t="str">
        <f t="array" ref="E121">IFERROR(INDEX(Avaluacio[Codi ítem],(MATCH(0,INDEX(COUNTIF(E$1:E120,Avaluacio[Codi ítem]),0,0)+INDEX(Avaluacio[Avaluable]="No",0,0),0))),"")</f>
        <v>XGO121</v>
      </c>
      <c r="F121" s="45" t="str">
        <f t="array" ref="F121">IFERROR(VLOOKUP(E121,Avaluacio[],COLUMN(Avaluacio[Ítem]),FALSE),"")</f>
        <v>Informació de la contaminació acústica</v>
      </c>
      <c r="G121" t="str">
        <f t="array" ref="G121">IFERROR(VLOOKUP(E121,Avaluacio[],COLUMN(Avaluacio[Família]),FALSE),"")</f>
        <v>Serveis i tràmits</v>
      </c>
      <c r="H121" t="str">
        <f t="array" ref="H121">IFERROR(VLOOKUP(E121,Avaluacio[],COLUMN(Avaluacio[Subfamília]),FALSE),"")</f>
        <v>Estat dels serveis</v>
      </c>
      <c r="I121" s="6" t="str">
        <f t="array" ref="I121">IFERROR(VLOOKUP(E121,Avaluacio[],COLUMN(Avaluacio[Contingut]),FALSE),"")</f>
        <v>Sí</v>
      </c>
      <c r="J121" s="6" t="str">
        <f t="array" ref="J121">IFERROR(VLOOKUP(E121,Avaluacio[],COLUMN(Avaluacio[Actualització]),FALSE),"")</f>
        <v>Sí</v>
      </c>
      <c r="K121" s="6" t="str">
        <f t="array" ref="K121">IFERROR(VLOOKUP(E121,Avaluacio[],COLUMN(#REF!),FALSE),"")</f>
        <v/>
      </c>
      <c r="L121" t="str">
        <f t="array" ref="L121">IFERROR(VLOOKUP(E121,Avaluacio[],COLUMN(Avaluacio[Grau de compliment]),FALSE),"")</f>
        <v>Compleix totalment</v>
      </c>
      <c r="M121" s="8">
        <f t="array" ref="M121">IFERROR(VLOOKUP(E121,Avaluacio[],COLUMN(Avaluacio[% compliment]),FALSE),"")</f>
        <v>1</v>
      </c>
    </row>
    <row r="122" spans="1:13" ht="30" x14ac:dyDescent="0.2">
      <c r="A122" t="str">
        <f t="array" ref="A122">IFERROR(IF(VLOOKUP($E122,Avaluacio[],COLUMN(Avaluacio[Codi ítem]),FALSE)=$E122,'1_Plantejament'!$B$5,""),"")</f>
        <v xml:space="preserve">Ajuntament de la Tallada d'Empordà </v>
      </c>
      <c r="B122">
        <f t="array" ref="B122">IFERROR(IF(VLOOKUP($E122,Avaluacio[],COLUMN(Avaluacio[Codi ítem]),FALSE)=$E122,'1_Plantejament'!$B$9,""),"")</f>
        <v>2026</v>
      </c>
      <c r="C122">
        <f t="array" ref="C122">IFERROR(IF(VLOOKUP($E122,Avaluacio[],COLUMN(Avaluacio[Codi ítem]),FALSE)=$E122,'1_Plantejament'!$B$10,""),"")</f>
        <v>46205</v>
      </c>
      <c r="D122" s="6" t="str">
        <f t="array" ref="D122">IFERROR(IF(VLOOKUP($E122,Avaluacio[],COLUMN(Avaluacio[Codi ítem]),FALSE)=$E122,'1_Plantejament'!$B$7,""),"")</f>
        <v>Fase 5</v>
      </c>
      <c r="E122" s="6" t="str">
        <f t="array" ref="E122">IFERROR(INDEX(Avaluacio[Codi ítem],(MATCH(0,INDEX(COUNTIF(E$1:E121,Avaluacio[Codi ítem]),0,0)+INDEX(Avaluacio[Avaluable]="No",0,0),0))),"")</f>
        <v>XGO122</v>
      </c>
      <c r="F122" s="45" t="str">
        <f t="array" ref="F122">IFERROR(VLOOKUP(E122,Avaluacio[],COLUMN(Avaluacio[Ítem]),FALSE),"")</f>
        <v>Avaluacions de les polítiques públiques</v>
      </c>
      <c r="G122" t="str">
        <f t="array" ref="G122">IFERROR(VLOOKUP(E122,Avaluacio[],COLUMN(Avaluacio[Família]),FALSE),"")</f>
        <v>Serveis i tràmits</v>
      </c>
      <c r="H122" t="str">
        <f t="array" ref="H122">IFERROR(VLOOKUP(E122,Avaluacio[],COLUMN(Avaluacio[Subfamília]),FALSE),"")</f>
        <v>Estat dels serveis</v>
      </c>
      <c r="I122" s="6" t="str">
        <f t="array" ref="I122">IFERROR(VLOOKUP(E122,Avaluacio[],COLUMN(Avaluacio[Contingut]),FALSE),"")</f>
        <v>No</v>
      </c>
      <c r="J122" s="6" t="str">
        <f t="array" ref="J122">IFERROR(VLOOKUP(E122,Avaluacio[],COLUMN(Avaluacio[Actualització]),FALSE),"")</f>
        <v>No</v>
      </c>
      <c r="K122" s="6" t="str">
        <f t="array" ref="K122">IFERROR(VLOOKUP(E122,Avaluacio[],COLUMN(#REF!),FALSE),"")</f>
        <v/>
      </c>
      <c r="L122" t="str">
        <f t="array" ref="L122">IFERROR(VLOOKUP(E122,Avaluacio[],COLUMN(Avaluacio[Grau de compliment]),FALSE),"")</f>
        <v>No compleix</v>
      </c>
      <c r="M122" s="8">
        <f t="array" ref="M122">IFERROR(VLOOKUP(E122,Avaluacio[],COLUMN(Avaluacio[% compliment]),FALSE),"")</f>
        <v>0</v>
      </c>
    </row>
    <row r="123" spans="1:13" ht="30" x14ac:dyDescent="0.2">
      <c r="A123" t="str">
        <f t="array" ref="A123">IFERROR(IF(VLOOKUP($E123,Avaluacio[],COLUMN(Avaluacio[Codi ítem]),FALSE)=$E123,'1_Plantejament'!$B$5,""),"")</f>
        <v xml:space="preserve">Ajuntament de la Tallada d'Empordà </v>
      </c>
      <c r="B123">
        <f t="array" ref="B123">IFERROR(IF(VLOOKUP($E123,Avaluacio[],COLUMN(Avaluacio[Codi ítem]),FALSE)=$E123,'1_Plantejament'!$B$9,""),"")</f>
        <v>2026</v>
      </c>
      <c r="C123">
        <f t="array" ref="C123">IFERROR(IF(VLOOKUP($E123,Avaluacio[],COLUMN(Avaluacio[Codi ítem]),FALSE)=$E123,'1_Plantejament'!$B$10,""),"")</f>
        <v>46205</v>
      </c>
      <c r="D123" s="6" t="str">
        <f t="array" ref="D123">IFERROR(IF(VLOOKUP($E123,Avaluacio[],COLUMN(Avaluacio[Codi ítem]),FALSE)=$E123,'1_Plantejament'!$B$7,""),"")</f>
        <v>Fase 5</v>
      </c>
      <c r="E123" s="6" t="str">
        <f t="array" ref="E123">IFERROR(INDEX(Avaluacio[Codi ítem],(MATCH(0,INDEX(COUNTIF(E$1:E122,Avaluacio[Codi ítem]),0,0)+INDEX(Avaluacio[Avaluable]="No",0,0),0))),"")</f>
        <v>XGO123</v>
      </c>
      <c r="F123" s="45" t="str">
        <f t="array" ref="F123">IFERROR(VLOOKUP(E123,Avaluacio[],COLUMN(Avaluacio[Ítem]),FALSE),"")</f>
        <v>Avaluacions de qualitat dels serveis públics</v>
      </c>
      <c r="G123" t="str">
        <f t="array" ref="G123">IFERROR(VLOOKUP(E123,Avaluacio[],COLUMN(Avaluacio[Família]),FALSE),"")</f>
        <v>Serveis i tràmits</v>
      </c>
      <c r="H123" t="str">
        <f t="array" ref="H123">IFERROR(VLOOKUP(E123,Avaluacio[],COLUMN(Avaluacio[Subfamília]),FALSE),"")</f>
        <v>Estat dels serveis</v>
      </c>
      <c r="I123" s="6" t="str">
        <f t="array" ref="I123">IFERROR(VLOOKUP(E123,Avaluacio[],COLUMN(Avaluacio[Contingut]),FALSE),"")</f>
        <v>No</v>
      </c>
      <c r="J123" s="6" t="str">
        <f t="array" ref="J123">IFERROR(VLOOKUP(E123,Avaluacio[],COLUMN(Avaluacio[Actualització]),FALSE),"")</f>
        <v>No</v>
      </c>
      <c r="K123" s="6" t="str">
        <f t="array" ref="K123">IFERROR(VLOOKUP(E123,Avaluacio[],COLUMN(#REF!),FALSE),"")</f>
        <v/>
      </c>
      <c r="L123" t="str">
        <f t="array" ref="L123">IFERROR(VLOOKUP(E123,Avaluacio[],COLUMN(Avaluacio[Grau de compliment]),FALSE),"")</f>
        <v>No compleix</v>
      </c>
      <c r="M123" s="8">
        <f t="array" ref="M123">IFERROR(VLOOKUP(E123,Avaluacio[],COLUMN(Avaluacio[% compliment]),FALSE),"")</f>
        <v>0</v>
      </c>
    </row>
    <row r="124" spans="1:13" ht="28.5" x14ac:dyDescent="0.2">
      <c r="A124" t="str">
        <f t="array" ref="A124">IFERROR(IF(VLOOKUP($E124,Avaluacio[],COLUMN(Avaluacio[Codi ítem]),FALSE)=$E124,'1_Plantejament'!$B$5,""),"")</f>
        <v xml:space="preserve">Ajuntament de la Tallada d'Empordà </v>
      </c>
      <c r="B124">
        <f t="array" ref="B124">IFERROR(IF(VLOOKUP($E124,Avaluacio[],COLUMN(Avaluacio[Codi ítem]),FALSE)=$E124,'1_Plantejament'!$B$9,""),"")</f>
        <v>2026</v>
      </c>
      <c r="C124">
        <f t="array" ref="C124">IFERROR(IF(VLOOKUP($E124,Avaluacio[],COLUMN(Avaluacio[Codi ítem]),FALSE)=$E124,'1_Plantejament'!$B$10,""),"")</f>
        <v>46205</v>
      </c>
      <c r="D124" s="6" t="str">
        <f t="array" ref="D124">IFERROR(IF(VLOOKUP($E124,Avaluacio[],COLUMN(Avaluacio[Codi ítem]),FALSE)=$E124,'1_Plantejament'!$B$7,""),"")</f>
        <v>Fase 5</v>
      </c>
      <c r="E124" s="6" t="str">
        <f t="array" ref="E124">IFERROR(INDEX(Avaluacio[Codi ítem],(MATCH(0,INDEX(COUNTIF(E$1:E123,Avaluacio[Codi ítem]),0,0)+INDEX(Avaluacio[Avaluable]="No",0,0),0))),"")</f>
        <v>XGO124</v>
      </c>
      <c r="F124" s="45" t="str">
        <f t="array" ref="F124">IFERROR(VLOOKUP(E124,Avaluacio[],COLUMN(Avaluacio[Ítem]),FALSE),"")</f>
        <v>Indicadors de transparència</v>
      </c>
      <c r="G124" t="str">
        <f t="array" ref="G124">IFERROR(VLOOKUP(E124,Avaluacio[],COLUMN(Avaluacio[Família]),FALSE),"")</f>
        <v>Serveis i tràmits</v>
      </c>
      <c r="H124" t="str">
        <f t="array" ref="H124">IFERROR(VLOOKUP(E124,Avaluacio[],COLUMN(Avaluacio[Subfamília]),FALSE),"")</f>
        <v>Estat dels serveis</v>
      </c>
      <c r="I124" s="6" t="str">
        <f t="array" ref="I124">IFERROR(VLOOKUP(E124,Avaluacio[],COLUMN(Avaluacio[Contingut]),FALSE),"")</f>
        <v>Sí</v>
      </c>
      <c r="J124" s="6" t="str">
        <f t="array" ref="J124">IFERROR(VLOOKUP(E124,Avaluacio[],COLUMN(Avaluacio[Actualització]),FALSE),"")</f>
        <v>Sí</v>
      </c>
      <c r="K124" s="6" t="str">
        <f t="array" ref="K124">IFERROR(VLOOKUP(E124,Avaluacio[],COLUMN(#REF!),FALSE),"")</f>
        <v/>
      </c>
      <c r="L124" t="str">
        <f t="array" ref="L124">IFERROR(VLOOKUP(E124,Avaluacio[],COLUMN(Avaluacio[Grau de compliment]),FALSE),"")</f>
        <v>Compleix totalment</v>
      </c>
      <c r="M124" s="8">
        <f t="array" ref="M124">IFERROR(VLOOKUP(E124,Avaluacio[],COLUMN(Avaluacio[% compliment]),FALSE),"")</f>
        <v>1</v>
      </c>
    </row>
    <row r="125" spans="1:13" ht="28.5" x14ac:dyDescent="0.2">
      <c r="A125" t="str">
        <f t="array" ref="A125">IFERROR(IF(VLOOKUP($E125,Avaluacio[],COLUMN(Avaluacio[Codi ítem]),FALSE)=$E125,'1_Plantejament'!$B$5,""),"")</f>
        <v xml:space="preserve">Ajuntament de la Tallada d'Empordà </v>
      </c>
      <c r="B125">
        <f t="array" ref="B125">IFERROR(IF(VLOOKUP($E125,Avaluacio[],COLUMN(Avaluacio[Codi ítem]),FALSE)=$E125,'1_Plantejament'!$B$9,""),"")</f>
        <v>2026</v>
      </c>
      <c r="C125">
        <f t="array" ref="C125">IFERROR(IF(VLOOKUP($E125,Avaluacio[],COLUMN(Avaluacio[Codi ítem]),FALSE)=$E125,'1_Plantejament'!$B$10,""),"")</f>
        <v>46205</v>
      </c>
      <c r="D125" s="6" t="str">
        <f t="array" ref="D125">IFERROR(IF(VLOOKUP($E125,Avaluacio[],COLUMN(Avaluacio[Codi ítem]),FALSE)=$E125,'1_Plantejament'!$B$7,""),"")</f>
        <v>Fase 5</v>
      </c>
      <c r="E125" s="6" t="str">
        <f t="array" ref="E125">IFERROR(INDEX(Avaluacio[Codi ítem],(MATCH(0,INDEX(COUNTIF(E$1:E124,Avaluacio[Codi ítem]),0,0)+INDEX(Avaluacio[Avaluable]="No",0,0),0))),"")</f>
        <v>XGO125</v>
      </c>
      <c r="F125" s="45" t="str">
        <f t="array" ref="F125">IFERROR(VLOOKUP(E125,Avaluacio[],COLUMN(Avaluacio[Ítem]),FALSE),"")</f>
        <v>Atenció ciutadana</v>
      </c>
      <c r="G125" t="str">
        <f t="array" ref="G125">IFERROR(VLOOKUP(E125,Avaluacio[],COLUMN(Avaluacio[Família]),FALSE),"")</f>
        <v>Serveis i tràmits</v>
      </c>
      <c r="H125" t="str">
        <f t="array" ref="H125">IFERROR(VLOOKUP(E125,Avaluacio[],COLUMN(Avaluacio[Subfamília]),FALSE),"")</f>
        <v>Serveis</v>
      </c>
      <c r="I125" s="6" t="str">
        <f t="array" ref="I125">IFERROR(VLOOKUP(E125,Avaluacio[],COLUMN(Avaluacio[Contingut]),FALSE),"")</f>
        <v>Sí</v>
      </c>
      <c r="J125" s="6" t="str">
        <f t="array" ref="J125">IFERROR(VLOOKUP(E125,Avaluacio[],COLUMN(Avaluacio[Actualització]),FALSE),"")</f>
        <v>Sí</v>
      </c>
      <c r="K125" s="6" t="str">
        <f t="array" ref="K125">IFERROR(VLOOKUP(E125,Avaluacio[],COLUMN(#REF!),FALSE),"")</f>
        <v/>
      </c>
      <c r="L125" t="str">
        <f t="array" ref="L125">IFERROR(VLOOKUP(E125,Avaluacio[],COLUMN(Avaluacio[Grau de compliment]),FALSE),"")</f>
        <v>Compleix totalment</v>
      </c>
      <c r="M125" s="8">
        <f t="array" ref="M125">IFERROR(VLOOKUP(E125,Avaluacio[],COLUMN(Avaluacio[% compliment]),FALSE),"")</f>
        <v>1</v>
      </c>
    </row>
    <row r="126" spans="1:13" ht="28.5" x14ac:dyDescent="0.2">
      <c r="A126" t="str">
        <f t="array" ref="A126">IFERROR(IF(VLOOKUP($E126,Avaluacio[],COLUMN(Avaluacio[Codi ítem]),FALSE)=$E126,'1_Plantejament'!$B$5,""),"")</f>
        <v xml:space="preserve">Ajuntament de la Tallada d'Empordà </v>
      </c>
      <c r="B126">
        <f t="array" ref="B126">IFERROR(IF(VLOOKUP($E126,Avaluacio[],COLUMN(Avaluacio[Codi ítem]),FALSE)=$E126,'1_Plantejament'!$B$9,""),"")</f>
        <v>2026</v>
      </c>
      <c r="C126">
        <f t="array" ref="C126">IFERROR(IF(VLOOKUP($E126,Avaluacio[],COLUMN(Avaluacio[Codi ítem]),FALSE)=$E126,'1_Plantejament'!$B$10,""),"")</f>
        <v>46205</v>
      </c>
      <c r="D126" s="6" t="str">
        <f t="array" ref="D126">IFERROR(IF(VLOOKUP($E126,Avaluacio[],COLUMN(Avaluacio[Codi ítem]),FALSE)=$E126,'1_Plantejament'!$B$7,""),"")</f>
        <v>Fase 5</v>
      </c>
      <c r="E126" s="6" t="str">
        <f t="array" ref="E126">IFERROR(INDEX(Avaluacio[Codi ítem],(MATCH(0,INDEX(COUNTIF(E$1:E125,Avaluacio[Codi ítem]),0,0)+INDEX(Avaluacio[Avaluable]="No",0,0),0))),"")</f>
        <v>XGO126</v>
      </c>
      <c r="F126" s="45" t="str">
        <f t="array" ref="F126">IFERROR(VLOOKUP(E126,Avaluacio[],COLUMN(Avaluacio[Ítem]),FALSE),"")</f>
        <v>Calendari dies inhàbils</v>
      </c>
      <c r="G126" t="str">
        <f t="array" ref="G126">IFERROR(VLOOKUP(E126,Avaluacio[],COLUMN(Avaluacio[Família]),FALSE),"")</f>
        <v>Serveis i tràmits</v>
      </c>
      <c r="H126" t="str">
        <f t="array" ref="H126">IFERROR(VLOOKUP(E126,Avaluacio[],COLUMN(Avaluacio[Subfamília]),FALSE),"")</f>
        <v>Serveis</v>
      </c>
      <c r="I126" s="6" t="str">
        <f t="array" ref="I126">IFERROR(VLOOKUP(E126,Avaluacio[],COLUMN(Avaluacio[Contingut]),FALSE),"")</f>
        <v>Sí</v>
      </c>
      <c r="J126" s="6" t="str">
        <f t="array" ref="J126">IFERROR(VLOOKUP(E126,Avaluacio[],COLUMN(Avaluacio[Actualització]),FALSE),"")</f>
        <v>Sí</v>
      </c>
      <c r="K126" s="6" t="str">
        <f t="array" ref="K126">IFERROR(VLOOKUP(E126,Avaluacio[],COLUMN(#REF!),FALSE),"")</f>
        <v/>
      </c>
      <c r="L126" t="str">
        <f t="array" ref="L126">IFERROR(VLOOKUP(E126,Avaluacio[],COLUMN(Avaluacio[Grau de compliment]),FALSE),"")</f>
        <v>Compleix totalment</v>
      </c>
      <c r="M126" s="8">
        <f t="array" ref="M126">IFERROR(VLOOKUP(E126,Avaluacio[],COLUMN(Avaluacio[% compliment]),FALSE),"")</f>
        <v>1</v>
      </c>
    </row>
    <row r="127" spans="1:13" ht="28.5" x14ac:dyDescent="0.2">
      <c r="A127" t="str">
        <f t="array" ref="A127">IFERROR(IF(VLOOKUP($E127,Avaluacio[],COLUMN(Avaluacio[Codi ítem]),FALSE)=$E127,'1_Plantejament'!$B$5,""),"")</f>
        <v xml:space="preserve">Ajuntament de la Tallada d'Empordà </v>
      </c>
      <c r="B127">
        <f t="array" ref="B127">IFERROR(IF(VLOOKUP($E127,Avaluacio[],COLUMN(Avaluacio[Codi ítem]),FALSE)=$E127,'1_Plantejament'!$B$9,""),"")</f>
        <v>2026</v>
      </c>
      <c r="C127">
        <f t="array" ref="C127">IFERROR(IF(VLOOKUP($E127,Avaluacio[],COLUMN(Avaluacio[Codi ítem]),FALSE)=$E127,'1_Plantejament'!$B$10,""),"")</f>
        <v>46205</v>
      </c>
      <c r="D127" s="6" t="str">
        <f t="array" ref="D127">IFERROR(IF(VLOOKUP($E127,Avaluacio[],COLUMN(Avaluacio[Codi ítem]),FALSE)=$E127,'1_Plantejament'!$B$7,""),"")</f>
        <v>Fase 5</v>
      </c>
      <c r="E127" s="6" t="str">
        <f t="array" ref="E127">IFERROR(INDEX(Avaluacio[Codi ítem],(MATCH(0,INDEX(COUNTIF(E$1:E126,Avaluacio[Codi ítem]),0,0)+INDEX(Avaluacio[Avaluable]="No",0,0),0))),"")</f>
        <v>XGO127</v>
      </c>
      <c r="F127" s="45" t="str">
        <f t="array" ref="F127">IFERROR(VLOOKUP(E127,Avaluacio[],COLUMN(Avaluacio[Ítem]),FALSE),"")</f>
        <v>Catàleg i cartes de serveis</v>
      </c>
      <c r="G127" t="str">
        <f t="array" ref="G127">IFERROR(VLOOKUP(E127,Avaluacio[],COLUMN(Avaluacio[Família]),FALSE),"")</f>
        <v>Serveis i tràmits</v>
      </c>
      <c r="H127" t="str">
        <f t="array" ref="H127">IFERROR(VLOOKUP(E127,Avaluacio[],COLUMN(Avaluacio[Subfamília]),FALSE),"")</f>
        <v>Serveis</v>
      </c>
      <c r="I127" s="6" t="str">
        <f t="array" ref="I127">IFERROR(VLOOKUP(E127,Avaluacio[],COLUMN(Avaluacio[Contingut]),FALSE),"")</f>
        <v>Sí</v>
      </c>
      <c r="J127" s="6" t="str">
        <f t="array" ref="J127">IFERROR(VLOOKUP(E127,Avaluacio[],COLUMN(Avaluacio[Actualització]),FALSE),"")</f>
        <v>Sí</v>
      </c>
      <c r="K127" s="6" t="str">
        <f t="array" ref="K127">IFERROR(VLOOKUP(E127,Avaluacio[],COLUMN(#REF!),FALSE),"")</f>
        <v/>
      </c>
      <c r="L127" t="str">
        <f t="array" ref="L127">IFERROR(VLOOKUP(E127,Avaluacio[],COLUMN(Avaluacio[Grau de compliment]),FALSE),"")</f>
        <v>Compleix totalment</v>
      </c>
      <c r="M127" s="8">
        <f t="array" ref="M127">IFERROR(VLOOKUP(E127,Avaluacio[],COLUMN(Avaluacio[% compliment]),FALSE),"")</f>
        <v>1</v>
      </c>
    </row>
    <row r="128" spans="1:13" ht="28.5" x14ac:dyDescent="0.2">
      <c r="A128" t="str">
        <f t="array" ref="A128">IFERROR(IF(VLOOKUP($E128,Avaluacio[],COLUMN(Avaluacio[Codi ítem]),FALSE)=$E128,'1_Plantejament'!$B$5,""),"")</f>
        <v xml:space="preserve">Ajuntament de la Tallada d'Empordà </v>
      </c>
      <c r="B128">
        <f t="array" ref="B128">IFERROR(IF(VLOOKUP($E128,Avaluacio[],COLUMN(Avaluacio[Codi ítem]),FALSE)=$E128,'1_Plantejament'!$B$9,""),"")</f>
        <v>2026</v>
      </c>
      <c r="C128">
        <f t="array" ref="C128">IFERROR(IF(VLOOKUP($E128,Avaluacio[],COLUMN(Avaluacio[Codi ítem]),FALSE)=$E128,'1_Plantejament'!$B$10,""),"")</f>
        <v>46205</v>
      </c>
      <c r="D128" s="6" t="str">
        <f t="array" ref="D128">IFERROR(IF(VLOOKUP($E128,Avaluacio[],COLUMN(Avaluacio[Codi ítem]),FALSE)=$E128,'1_Plantejament'!$B$7,""),"")</f>
        <v>Fase 5</v>
      </c>
      <c r="E128" s="6" t="str">
        <f t="array" ref="E128">IFERROR(INDEX(Avaluacio[Codi ítem],(MATCH(0,INDEX(COUNTIF(E$1:E127,Avaluacio[Codi ítem]),0,0)+INDEX(Avaluacio[Avaluable]="No",0,0),0))),"")</f>
        <v>XGO128</v>
      </c>
      <c r="F128" s="45" t="str">
        <f t="array" ref="F128">IFERROR(VLOOKUP(E128,Avaluacio[],COLUMN(Avaluacio[Ítem]),FALSE),"")</f>
        <v>Equipaments municipals</v>
      </c>
      <c r="G128" t="str">
        <f t="array" ref="G128">IFERROR(VLOOKUP(E128,Avaluacio[],COLUMN(Avaluacio[Família]),FALSE),"")</f>
        <v>Serveis i tràmits</v>
      </c>
      <c r="H128" t="str">
        <f t="array" ref="H128">IFERROR(VLOOKUP(E128,Avaluacio[],COLUMN(Avaluacio[Subfamília]),FALSE),"")</f>
        <v>Serveis</v>
      </c>
      <c r="I128" s="6" t="str">
        <f t="array" ref="I128">IFERROR(VLOOKUP(E128,Avaluacio[],COLUMN(Avaluacio[Contingut]),FALSE),"")</f>
        <v>No</v>
      </c>
      <c r="J128" s="6" t="str">
        <f t="array" ref="J128">IFERROR(VLOOKUP(E128,Avaluacio[],COLUMN(Avaluacio[Actualització]),FALSE),"")</f>
        <v>No</v>
      </c>
      <c r="K128" s="6" t="str">
        <f t="array" ref="K128">IFERROR(VLOOKUP(E128,Avaluacio[],COLUMN(#REF!),FALSE),"")</f>
        <v/>
      </c>
      <c r="L128" t="str">
        <f t="array" ref="L128">IFERROR(VLOOKUP(E128,Avaluacio[],COLUMN(Avaluacio[Grau de compliment]),FALSE),"")</f>
        <v>No compleix</v>
      </c>
      <c r="M128" s="8">
        <f t="array" ref="M128">IFERROR(VLOOKUP(E128,Avaluacio[],COLUMN(Avaluacio[% compliment]),FALSE),"")</f>
        <v>0</v>
      </c>
    </row>
    <row r="129" spans="1:13" ht="28.5" x14ac:dyDescent="0.2">
      <c r="A129" t="str">
        <f t="array" ref="A129">IFERROR(IF(VLOOKUP($E129,Avaluacio[],COLUMN(Avaluacio[Codi ítem]),FALSE)=$E129,'1_Plantejament'!$B$5,""),"")</f>
        <v xml:space="preserve">Ajuntament de la Tallada d'Empordà </v>
      </c>
      <c r="B129">
        <f t="array" ref="B129">IFERROR(IF(VLOOKUP($E129,Avaluacio[],COLUMN(Avaluacio[Codi ítem]),FALSE)=$E129,'1_Plantejament'!$B$9,""),"")</f>
        <v>2026</v>
      </c>
      <c r="C129">
        <f t="array" ref="C129">IFERROR(IF(VLOOKUP($E129,Avaluacio[],COLUMN(Avaluacio[Codi ítem]),FALSE)=$E129,'1_Plantejament'!$B$10,""),"")</f>
        <v>46205</v>
      </c>
      <c r="D129" s="6" t="str">
        <f t="array" ref="D129">IFERROR(IF(VLOOKUP($E129,Avaluacio[],COLUMN(Avaluacio[Codi ítem]),FALSE)=$E129,'1_Plantejament'!$B$7,""),"")</f>
        <v>Fase 5</v>
      </c>
      <c r="E129" s="6" t="str">
        <f t="array" ref="E129">IFERROR(INDEX(Avaluacio[Codi ítem],(MATCH(0,INDEX(COUNTIF(E$1:E128,Avaluacio[Codi ítem]),0,0)+INDEX(Avaluacio[Avaluable]="No",0,0),0))),"")</f>
        <v>XGO129</v>
      </c>
      <c r="F129" s="45" t="str">
        <f t="array" ref="F129">IFERROR(VLOOKUP(E129,Avaluacio[],COLUMN(Avaluacio[Ítem]),FALSE),"")</f>
        <v>Instància genèrica</v>
      </c>
      <c r="G129" t="str">
        <f t="array" ref="G129">IFERROR(VLOOKUP(E129,Avaluacio[],COLUMN(Avaluacio[Família]),FALSE),"")</f>
        <v>Serveis i tràmits</v>
      </c>
      <c r="H129" t="str">
        <f t="array" ref="H129">IFERROR(VLOOKUP(E129,Avaluacio[],COLUMN(Avaluacio[Subfamília]),FALSE),"")</f>
        <v>Tràmits</v>
      </c>
      <c r="I129" s="6" t="str">
        <f t="array" ref="I129">IFERROR(VLOOKUP(E129,Avaluacio[],COLUMN(Avaluacio[Contingut]),FALSE),"")</f>
        <v>Sí</v>
      </c>
      <c r="J129" s="6" t="str">
        <f t="array" ref="J129">IFERROR(VLOOKUP(E129,Avaluacio[],COLUMN(Avaluacio[Actualització]),FALSE),"")</f>
        <v>Sí</v>
      </c>
      <c r="K129" s="6" t="str">
        <f t="array" ref="K129">IFERROR(VLOOKUP(E129,Avaluacio[],COLUMN(#REF!),FALSE),"")</f>
        <v/>
      </c>
      <c r="L129" t="str">
        <f t="array" ref="L129">IFERROR(VLOOKUP(E129,Avaluacio[],COLUMN(Avaluacio[Grau de compliment]),FALSE),"")</f>
        <v>Compleix totalment</v>
      </c>
      <c r="M129" s="8">
        <f t="array" ref="M129">IFERROR(VLOOKUP(E129,Avaluacio[],COLUMN(Avaluacio[% compliment]),FALSE),"")</f>
        <v>1</v>
      </c>
    </row>
    <row r="130" spans="1:13" ht="28.5" x14ac:dyDescent="0.2">
      <c r="A130" t="str">
        <f t="array" ref="A130">IFERROR(IF(VLOOKUP($E130,Avaluacio[],COLUMN(Avaluacio[Codi ítem]),FALSE)=$E130,'1_Plantejament'!$B$5,""),"")</f>
        <v xml:space="preserve">Ajuntament de la Tallada d'Empordà </v>
      </c>
      <c r="B130">
        <f t="array" ref="B130">IFERROR(IF(VLOOKUP($E130,Avaluacio[],COLUMN(Avaluacio[Codi ítem]),FALSE)=$E130,'1_Plantejament'!$B$9,""),"")</f>
        <v>2026</v>
      </c>
      <c r="C130">
        <f t="array" ref="C130">IFERROR(IF(VLOOKUP($E130,Avaluacio[],COLUMN(Avaluacio[Codi ítem]),FALSE)=$E130,'1_Plantejament'!$B$10,""),"")</f>
        <v>46205</v>
      </c>
      <c r="D130" s="6" t="str">
        <f t="array" ref="D130">IFERROR(IF(VLOOKUP($E130,Avaluacio[],COLUMN(Avaluacio[Codi ítem]),FALSE)=$E130,'1_Plantejament'!$B$7,""),"")</f>
        <v>Fase 5</v>
      </c>
      <c r="E130" s="6" t="str">
        <f t="array" ref="E130">IFERROR(INDEX(Avaluacio[Codi ítem],(MATCH(0,INDEX(COUNTIF(E$1:E129,Avaluacio[Codi ítem]),0,0)+INDEX(Avaluacio[Avaluable]="No",0,0),0))),"")</f>
        <v>XGO130</v>
      </c>
      <c r="F130" s="45" t="str">
        <f t="array" ref="F130">IFERROR(VLOOKUP(E130,Avaluacio[],COLUMN(Avaluacio[Ítem]),FALSE),"")</f>
        <v>Gestió tributària</v>
      </c>
      <c r="G130" t="str">
        <f t="array" ref="G130">IFERROR(VLOOKUP(E130,Avaluacio[],COLUMN(Avaluacio[Família]),FALSE),"")</f>
        <v>Serveis i tràmits</v>
      </c>
      <c r="H130" t="str">
        <f t="array" ref="H130">IFERROR(VLOOKUP(E130,Avaluacio[],COLUMN(Avaluacio[Subfamília]),FALSE),"")</f>
        <v>Tràmits</v>
      </c>
      <c r="I130" s="6" t="str">
        <f t="array" ref="I130">IFERROR(VLOOKUP(E130,Avaluacio[],COLUMN(Avaluacio[Contingut]),FALSE),"")</f>
        <v>Sí</v>
      </c>
      <c r="J130" s="6" t="str">
        <f t="array" ref="J130">IFERROR(VLOOKUP(E130,Avaluacio[],COLUMN(Avaluacio[Actualització]),FALSE),"")</f>
        <v>Sí</v>
      </c>
      <c r="K130" s="6" t="str">
        <f t="array" ref="K130">IFERROR(VLOOKUP(E130,Avaluacio[],COLUMN(#REF!),FALSE),"")</f>
        <v/>
      </c>
      <c r="L130" t="str">
        <f t="array" ref="L130">IFERROR(VLOOKUP(E130,Avaluacio[],COLUMN(Avaluacio[Grau de compliment]),FALSE),"")</f>
        <v>Compleix totalment</v>
      </c>
      <c r="M130" s="8">
        <f t="array" ref="M130">IFERROR(VLOOKUP(E130,Avaluacio[],COLUMN(Avaluacio[% compliment]),FALSE),"")</f>
        <v>1</v>
      </c>
    </row>
    <row r="131" spans="1:13" ht="28.5" x14ac:dyDescent="0.2">
      <c r="A131" t="str">
        <f t="array" ref="A131">IFERROR(IF(VLOOKUP($E131,Avaluacio[],COLUMN(Avaluacio[Codi ítem]),FALSE)=$E131,'1_Plantejament'!$B$5,""),"")</f>
        <v xml:space="preserve">Ajuntament de la Tallada d'Empordà </v>
      </c>
      <c r="B131">
        <f t="array" ref="B131">IFERROR(IF(VLOOKUP($E131,Avaluacio[],COLUMN(Avaluacio[Codi ítem]),FALSE)=$E131,'1_Plantejament'!$B$9,""),"")</f>
        <v>2026</v>
      </c>
      <c r="C131">
        <f t="array" ref="C131">IFERROR(IF(VLOOKUP($E131,Avaluacio[],COLUMN(Avaluacio[Codi ítem]),FALSE)=$E131,'1_Plantejament'!$B$10,""),"")</f>
        <v>46205</v>
      </c>
      <c r="D131" s="6" t="str">
        <f t="array" ref="D131">IFERROR(IF(VLOOKUP($E131,Avaluacio[],COLUMN(Avaluacio[Codi ítem]),FALSE)=$E131,'1_Plantejament'!$B$7,""),"")</f>
        <v>Fase 5</v>
      </c>
      <c r="E131" s="6" t="str">
        <f t="array" ref="E131">IFERROR(INDEX(Avaluacio[Codi ítem],(MATCH(0,INDEX(COUNTIF(E$1:E130,Avaluacio[Codi ítem]),0,0)+INDEX(Avaluacio[Avaluable]="No",0,0),0))),"")</f>
        <v>XGO131</v>
      </c>
      <c r="F131" s="45" t="str">
        <f t="array" ref="F131">IFERROR(VLOOKUP(E131,Avaluacio[],COLUMN(Avaluacio[Ítem]),FALSE),"")</f>
        <v>Notificacions electròniques</v>
      </c>
      <c r="G131" t="str">
        <f t="array" ref="G131">IFERROR(VLOOKUP(E131,Avaluacio[],COLUMN(Avaluacio[Família]),FALSE),"")</f>
        <v>Serveis i tràmits</v>
      </c>
      <c r="H131" t="str">
        <f t="array" ref="H131">IFERROR(VLOOKUP(E131,Avaluacio[],COLUMN(Avaluacio[Subfamília]),FALSE),"")</f>
        <v>Tràmits</v>
      </c>
      <c r="I131" s="6" t="str">
        <f t="array" ref="I131">IFERROR(VLOOKUP(E131,Avaluacio[],COLUMN(Avaluacio[Contingut]),FALSE),"")</f>
        <v>Sí</v>
      </c>
      <c r="J131" s="6" t="str">
        <f t="array" ref="J131">IFERROR(VLOOKUP(E131,Avaluacio[],COLUMN(Avaluacio[Actualització]),FALSE),"")</f>
        <v>Sí</v>
      </c>
      <c r="K131" s="6" t="str">
        <f t="array" ref="K131">IFERROR(VLOOKUP(E131,Avaluacio[],COLUMN(#REF!),FALSE),"")</f>
        <v/>
      </c>
      <c r="L131" t="str">
        <f t="array" ref="L131">IFERROR(VLOOKUP(E131,Avaluacio[],COLUMN(Avaluacio[Grau de compliment]),FALSE),"")</f>
        <v>Compleix totalment</v>
      </c>
      <c r="M131" s="8">
        <f t="array" ref="M131">IFERROR(VLOOKUP(E131,Avaluacio[],COLUMN(Avaluacio[% compliment]),FALSE),"")</f>
        <v>1</v>
      </c>
    </row>
    <row r="132" spans="1:13" ht="28.5" x14ac:dyDescent="0.2">
      <c r="A132" t="str">
        <f t="array" ref="A132">IFERROR(IF(VLOOKUP($E132,Avaluacio[],COLUMN(Avaluacio[Codi ítem]),FALSE)=$E132,'1_Plantejament'!$B$5,""),"")</f>
        <v xml:space="preserve">Ajuntament de la Tallada d'Empordà </v>
      </c>
      <c r="B132">
        <f t="array" ref="B132">IFERROR(IF(VLOOKUP($E132,Avaluacio[],COLUMN(Avaluacio[Codi ítem]),FALSE)=$E132,'1_Plantejament'!$B$9,""),"")</f>
        <v>2026</v>
      </c>
      <c r="C132">
        <f t="array" ref="C132">IFERROR(IF(VLOOKUP($E132,Avaluacio[],COLUMN(Avaluacio[Codi ítem]),FALSE)=$E132,'1_Plantejament'!$B$10,""),"")</f>
        <v>46205</v>
      </c>
      <c r="D132" s="6" t="str">
        <f t="array" ref="D132">IFERROR(IF(VLOOKUP($E132,Avaluacio[],COLUMN(Avaluacio[Codi ítem]),FALSE)=$E132,'1_Plantejament'!$B$7,""),"")</f>
        <v>Fase 5</v>
      </c>
      <c r="E132" s="6" t="str">
        <f t="array" ref="E132">IFERROR(INDEX(Avaluacio[Codi ítem],(MATCH(0,INDEX(COUNTIF(E$1:E131,Avaluacio[Codi ítem]),0,0)+INDEX(Avaluacio[Avaluable]="No",0,0),0))),"")</f>
        <v>XGO132</v>
      </c>
      <c r="F132" s="45" t="str">
        <f t="array" ref="F132">IFERROR(VLOOKUP(E132,Avaluacio[],COLUMN(Avaluacio[Ítem]),FALSE),"")</f>
        <v>Factures electròniques</v>
      </c>
      <c r="G132" t="str">
        <f t="array" ref="G132">IFERROR(VLOOKUP(E132,Avaluacio[],COLUMN(Avaluacio[Família]),FALSE),"")</f>
        <v>Serveis i tràmits</v>
      </c>
      <c r="H132" t="str">
        <f t="array" ref="H132">IFERROR(VLOOKUP(E132,Avaluacio[],COLUMN(Avaluacio[Subfamília]),FALSE),"")</f>
        <v>Tràmits</v>
      </c>
      <c r="I132" s="6" t="str">
        <f t="array" ref="I132">IFERROR(VLOOKUP(E132,Avaluacio[],COLUMN(Avaluacio[Contingut]),FALSE),"")</f>
        <v>Sí</v>
      </c>
      <c r="J132" s="6" t="str">
        <f t="array" ref="J132">IFERROR(VLOOKUP(E132,Avaluacio[],COLUMN(Avaluacio[Actualització]),FALSE),"")</f>
        <v>Sí</v>
      </c>
      <c r="K132" s="6" t="str">
        <f t="array" ref="K132">IFERROR(VLOOKUP(E132,Avaluacio[],COLUMN(#REF!),FALSE),"")</f>
        <v/>
      </c>
      <c r="L132" t="str">
        <f t="array" ref="L132">IFERROR(VLOOKUP(E132,Avaluacio[],COLUMN(Avaluacio[Grau de compliment]),FALSE),"")</f>
        <v>Compleix totalment</v>
      </c>
      <c r="M132" s="8">
        <f t="array" ref="M132">IFERROR(VLOOKUP(E132,Avaluacio[],COLUMN(Avaluacio[% compliment]),FALSE),"")</f>
        <v>1</v>
      </c>
    </row>
    <row r="133" spans="1:13" ht="30" x14ac:dyDescent="0.2">
      <c r="A133" t="str">
        <f t="array" ref="A133">IFERROR(IF(VLOOKUP($E133,Avaluacio[],COLUMN(Avaluacio[Codi ítem]),FALSE)=$E133,'1_Plantejament'!$B$5,""),"")</f>
        <v xml:space="preserve">Ajuntament de la Tallada d'Empordà </v>
      </c>
      <c r="B133">
        <f t="array" ref="B133">IFERROR(IF(VLOOKUP($E133,Avaluacio[],COLUMN(Avaluacio[Codi ítem]),FALSE)=$E133,'1_Plantejament'!$B$9,""),"")</f>
        <v>2026</v>
      </c>
      <c r="C133">
        <f t="array" ref="C133">IFERROR(IF(VLOOKUP($E133,Avaluacio[],COLUMN(Avaluacio[Codi ítem]),FALSE)=$E133,'1_Plantejament'!$B$10,""),"")</f>
        <v>46205</v>
      </c>
      <c r="D133" s="6" t="str">
        <f t="array" ref="D133">IFERROR(IF(VLOOKUP($E133,Avaluacio[],COLUMN(Avaluacio[Codi ítem]),FALSE)=$E133,'1_Plantejament'!$B$7,""),"")</f>
        <v>Fase 5</v>
      </c>
      <c r="E133" s="6" t="str">
        <f t="array" ref="E133">IFERROR(INDEX(Avaluacio[Codi ítem],(MATCH(0,INDEX(COUNTIF(E$1:E132,Avaluacio[Codi ítem]),0,0)+INDEX(Avaluacio[Avaluable]="No",0,0),0))),"")</f>
        <v>XGO133</v>
      </c>
      <c r="F133" s="45" t="str">
        <f t="array" ref="F133">IFERROR(VLOOKUP(E133,Avaluacio[],COLUMN(Avaluacio[Ítem]),FALSE),"")</f>
        <v>Sol·licitud d'accés a la informació pública</v>
      </c>
      <c r="G133" t="str">
        <f t="array" ref="G133">IFERROR(VLOOKUP(E133,Avaluacio[],COLUMN(Avaluacio[Família]),FALSE),"")</f>
        <v>Serveis i tràmits</v>
      </c>
      <c r="H133" t="str">
        <f t="array" ref="H133">IFERROR(VLOOKUP(E133,Avaluacio[],COLUMN(Avaluacio[Subfamília]),FALSE),"")</f>
        <v>Tràmits</v>
      </c>
      <c r="I133" s="6" t="str">
        <f t="array" ref="I133">IFERROR(VLOOKUP(E133,Avaluacio[],COLUMN(Avaluacio[Contingut]),FALSE),"")</f>
        <v>Sí</v>
      </c>
      <c r="J133" s="6" t="str">
        <f t="array" ref="J133">IFERROR(VLOOKUP(E133,Avaluacio[],COLUMN(Avaluacio[Actualització]),FALSE),"")</f>
        <v>Sí</v>
      </c>
      <c r="K133" s="6" t="str">
        <f t="array" ref="K133">IFERROR(VLOOKUP(E133,Avaluacio[],COLUMN(#REF!),FALSE),"")</f>
        <v/>
      </c>
      <c r="L133" t="str">
        <f t="array" ref="L133">IFERROR(VLOOKUP(E133,Avaluacio[],COLUMN(Avaluacio[Grau de compliment]),FALSE),"")</f>
        <v>Compleix totalment</v>
      </c>
      <c r="M133" s="8">
        <f t="array" ref="M133">IFERROR(VLOOKUP(E133,Avaluacio[],COLUMN(Avaluacio[% compliment]),FALSE),"")</f>
        <v>1</v>
      </c>
    </row>
    <row r="134" spans="1:13" ht="30" x14ac:dyDescent="0.2">
      <c r="A134" t="str">
        <f t="array" ref="A134">IFERROR(IF(VLOOKUP($E134,Avaluacio[],COLUMN(Avaluacio[Codi ítem]),FALSE)=$E134,'1_Plantejament'!$B$5,""),"")</f>
        <v xml:space="preserve">Ajuntament de la Tallada d'Empordà </v>
      </c>
      <c r="B134">
        <f t="array" ref="B134">IFERROR(IF(VLOOKUP($E134,Avaluacio[],COLUMN(Avaluacio[Codi ítem]),FALSE)=$E134,'1_Plantejament'!$B$9,""),"")</f>
        <v>2026</v>
      </c>
      <c r="C134">
        <f t="array" ref="C134">IFERROR(IF(VLOOKUP($E134,Avaluacio[],COLUMN(Avaluacio[Codi ítem]),FALSE)=$E134,'1_Plantejament'!$B$10,""),"")</f>
        <v>46205</v>
      </c>
      <c r="D134" s="6" t="str">
        <f t="array" ref="D134">IFERROR(IF(VLOOKUP($E134,Avaluacio[],COLUMN(Avaluacio[Codi ítem]),FALSE)=$E134,'1_Plantejament'!$B$7,""),"")</f>
        <v>Fase 5</v>
      </c>
      <c r="E134" s="6" t="str">
        <f t="array" ref="E134">IFERROR(INDEX(Avaluacio[Codi ítem],(MATCH(0,INDEX(COUNTIF(E$1:E133,Avaluacio[Codi ítem]),0,0)+INDEX(Avaluacio[Avaluable]="No",0,0),0))),"")</f>
        <v>XGO134</v>
      </c>
      <c r="F134" s="45" t="str">
        <f t="array" ref="F134">IFERROR(VLOOKUP(E134,Avaluacio[],COLUMN(Avaluacio[Ítem]),FALSE),"")</f>
        <v>Suggeriments, queixes i propostes</v>
      </c>
      <c r="G134" t="str">
        <f t="array" ref="G134">IFERROR(VLOOKUP(E134,Avaluacio[],COLUMN(Avaluacio[Família]),FALSE),"")</f>
        <v>Serveis i tràmits</v>
      </c>
      <c r="H134" t="str">
        <f t="array" ref="H134">IFERROR(VLOOKUP(E134,Avaluacio[],COLUMN(Avaluacio[Subfamília]),FALSE),"")</f>
        <v>Tràmits</v>
      </c>
      <c r="I134" s="6" t="str">
        <f t="array" ref="I134">IFERROR(VLOOKUP(E134,Avaluacio[],COLUMN(Avaluacio[Contingut]),FALSE),"")</f>
        <v>Sí</v>
      </c>
      <c r="J134" s="6" t="str">
        <f t="array" ref="J134">IFERROR(VLOOKUP(E134,Avaluacio[],COLUMN(Avaluacio[Actualització]),FALSE),"")</f>
        <v>Sí</v>
      </c>
      <c r="K134" s="6" t="str">
        <f t="array" ref="K134">IFERROR(VLOOKUP(E134,Avaluacio[],COLUMN(#REF!),FALSE),"")</f>
        <v/>
      </c>
      <c r="L134" t="str">
        <f t="array" ref="L134">IFERROR(VLOOKUP(E134,Avaluacio[],COLUMN(Avaluacio[Grau de compliment]),FALSE),"")</f>
        <v>Compleix totalment</v>
      </c>
      <c r="M134" s="8">
        <f t="array" ref="M134">IFERROR(VLOOKUP(E134,Avaluacio[],COLUMN(Avaluacio[% compliment]),FALSE),"")</f>
        <v>1</v>
      </c>
    </row>
    <row r="135" spans="1:13" ht="28.5" x14ac:dyDescent="0.2">
      <c r="A135" t="str">
        <f t="array" ref="A135">IFERROR(IF(VLOOKUP($E135,Avaluacio[],COLUMN(Avaluacio[Codi ítem]),FALSE)=$E135,'1_Plantejament'!$B$5,""),"")</f>
        <v xml:space="preserve">Ajuntament de la Tallada d'Empordà </v>
      </c>
      <c r="B135">
        <f t="array" ref="B135">IFERROR(IF(VLOOKUP($E135,Avaluacio[],COLUMN(Avaluacio[Codi ítem]),FALSE)=$E135,'1_Plantejament'!$B$9,""),"")</f>
        <v>2026</v>
      </c>
      <c r="C135">
        <f t="array" ref="C135">IFERROR(IF(VLOOKUP($E135,Avaluacio[],COLUMN(Avaluacio[Codi ítem]),FALSE)=$E135,'1_Plantejament'!$B$10,""),"")</f>
        <v>46205</v>
      </c>
      <c r="D135" s="6" t="str">
        <f t="array" ref="D135">IFERROR(IF(VLOOKUP($E135,Avaluacio[],COLUMN(Avaluacio[Codi ítem]),FALSE)=$E135,'1_Plantejament'!$B$7,""),"")</f>
        <v>Fase 5</v>
      </c>
      <c r="E135" s="6" t="str">
        <f t="array" ref="E135">IFERROR(INDEX(Avaluacio[Codi ítem],(MATCH(0,INDEX(COUNTIF(E$1:E134,Avaluacio[Codi ítem]),0,0)+INDEX(Avaluacio[Avaluable]="No",0,0),0))),"")</f>
        <v>XGO135</v>
      </c>
      <c r="F135" s="45" t="str">
        <f t="array" ref="F135">IFERROR(VLOOKUP(E135,Avaluacio[],COLUMN(Avaluacio[Ítem]),FALSE),"")</f>
        <v xml:space="preserve">El meu espai personal </v>
      </c>
      <c r="G135" t="str">
        <f t="array" ref="G135">IFERROR(VLOOKUP(E135,Avaluacio[],COLUMN(Avaluacio[Família]),FALSE),"")</f>
        <v>Serveis i tràmits</v>
      </c>
      <c r="H135" t="str">
        <f t="array" ref="H135">IFERROR(VLOOKUP(E135,Avaluacio[],COLUMN(Avaluacio[Subfamília]),FALSE),"")</f>
        <v>Tràmits</v>
      </c>
      <c r="I135" s="6" t="str">
        <f t="array" ref="I135">IFERROR(VLOOKUP(E135,Avaluacio[],COLUMN(Avaluacio[Contingut]),FALSE),"")</f>
        <v>Sí</v>
      </c>
      <c r="J135" s="6" t="str">
        <f t="array" ref="J135">IFERROR(VLOOKUP(E135,Avaluacio[],COLUMN(Avaluacio[Actualització]),FALSE),"")</f>
        <v>Sí</v>
      </c>
      <c r="K135" s="6" t="str">
        <f t="array" ref="K135">IFERROR(VLOOKUP(E135,Avaluacio[],COLUMN(#REF!),FALSE),"")</f>
        <v/>
      </c>
      <c r="L135" t="str">
        <f t="array" ref="L135">IFERROR(VLOOKUP(E135,Avaluacio[],COLUMN(Avaluacio[Grau de compliment]),FALSE),"")</f>
        <v>Compleix totalment</v>
      </c>
      <c r="M135" s="8">
        <f t="array" ref="M135">IFERROR(VLOOKUP(E135,Avaluacio[],COLUMN(Avaluacio[% compliment]),FALSE),"")</f>
        <v>1</v>
      </c>
    </row>
    <row r="136" spans="1:13" ht="30" x14ac:dyDescent="0.2">
      <c r="A136" t="str">
        <f t="array" ref="A136">IFERROR(IF(VLOOKUP($E136,Avaluacio[],COLUMN(Avaluacio[Codi ítem]),FALSE)=$E136,'1_Plantejament'!$B$5,""),"")</f>
        <v xml:space="preserve">Ajuntament de la Tallada d'Empordà </v>
      </c>
      <c r="B136">
        <f t="array" ref="B136">IFERROR(IF(VLOOKUP($E136,Avaluacio[],COLUMN(Avaluacio[Codi ítem]),FALSE)=$E136,'1_Plantejament'!$B$9,""),"")</f>
        <v>2026</v>
      </c>
      <c r="C136">
        <f t="array" ref="C136">IFERROR(IF(VLOOKUP($E136,Avaluacio[],COLUMN(Avaluacio[Codi ítem]),FALSE)=$E136,'1_Plantejament'!$B$10,""),"")</f>
        <v>46205</v>
      </c>
      <c r="D136" s="6" t="str">
        <f t="array" ref="D136">IFERROR(IF(VLOOKUP($E136,Avaluacio[],COLUMN(Avaluacio[Codi ítem]),FALSE)=$E136,'1_Plantejament'!$B$7,""),"")</f>
        <v>Fase 5</v>
      </c>
      <c r="E136" s="6" t="str">
        <f t="array" ref="E136">IFERROR(INDEX(Avaluacio[Codi ítem],(MATCH(0,INDEX(COUNTIF(E$1:E135,Avaluacio[Codi ítem]),0,0)+INDEX(Avaluacio[Avaluable]="No",0,0),0))),"")</f>
        <v>XGO136</v>
      </c>
      <c r="F136" s="45" t="str">
        <f t="array" ref="F136">IFERROR(VLOOKUP(E136,Avaluacio[],COLUMN(Avaluacio[Ítem]),FALSE),"")</f>
        <v>Catàleg de tràmits i procediments</v>
      </c>
      <c r="G136" t="str">
        <f t="array" ref="G136">IFERROR(VLOOKUP(E136,Avaluacio[],COLUMN(Avaluacio[Família]),FALSE),"")</f>
        <v>Serveis i tràmits</v>
      </c>
      <c r="H136" t="str">
        <f t="array" ref="H136">IFERROR(VLOOKUP(E136,Avaluacio[],COLUMN(Avaluacio[Subfamília]),FALSE),"")</f>
        <v>Tràmits</v>
      </c>
      <c r="I136" s="6" t="str">
        <f t="array" ref="I136">IFERROR(VLOOKUP(E136,Avaluacio[],COLUMN(Avaluacio[Contingut]),FALSE),"")</f>
        <v>Sí</v>
      </c>
      <c r="J136" s="6" t="str">
        <f t="array" ref="J136">IFERROR(VLOOKUP(E136,Avaluacio[],COLUMN(Avaluacio[Actualització]),FALSE),"")</f>
        <v>Sí</v>
      </c>
      <c r="K136" s="6" t="str">
        <f t="array" ref="K136">IFERROR(VLOOKUP(E136,Avaluacio[],COLUMN(#REF!),FALSE),"")</f>
        <v/>
      </c>
      <c r="L136" t="str">
        <f t="array" ref="L136">IFERROR(VLOOKUP(E136,Avaluacio[],COLUMN(Avaluacio[Grau de compliment]),FALSE),"")</f>
        <v>Compleix totalment</v>
      </c>
      <c r="M136" s="8">
        <f t="array" ref="M136">IFERROR(VLOOKUP(E136,Avaluacio[],COLUMN(Avaluacio[% compliment]),FALSE),"")</f>
        <v>1</v>
      </c>
    </row>
    <row r="137" spans="1:13" ht="30" x14ac:dyDescent="0.2">
      <c r="A137" t="str">
        <f t="array" ref="A137">IFERROR(IF(VLOOKUP($E137,Avaluacio[],COLUMN(Avaluacio[Codi ítem]),FALSE)=$E137,'1_Plantejament'!$B$5,""),"")</f>
        <v xml:space="preserve">Ajuntament de la Tallada d'Empordà </v>
      </c>
      <c r="B137">
        <f t="array" ref="B137">IFERROR(IF(VLOOKUP($E137,Avaluacio[],COLUMN(Avaluacio[Codi ítem]),FALSE)=$E137,'1_Plantejament'!$B$9,""),"")</f>
        <v>2026</v>
      </c>
      <c r="C137">
        <f t="array" ref="C137">IFERROR(IF(VLOOKUP($E137,Avaluacio[],COLUMN(Avaluacio[Codi ítem]),FALSE)=$E137,'1_Plantejament'!$B$10,""),"")</f>
        <v>46205</v>
      </c>
      <c r="D137" s="6" t="str">
        <f t="array" ref="D137">IFERROR(IF(VLOOKUP($E137,Avaluacio[],COLUMN(Avaluacio[Codi ítem]),FALSE)=$E137,'1_Plantejament'!$B$7,""),"")</f>
        <v>Fase 5</v>
      </c>
      <c r="E137" s="6" t="str">
        <f t="array" ref="E137">IFERROR(INDEX(Avaluacio[Codi ítem],(MATCH(0,INDEX(COUNTIF(E$1:E136,Avaluacio[Codi ítem]),0,0)+INDEX(Avaluacio[Avaluable]="No",0,0),0))),"")</f>
        <v>XGO137</v>
      </c>
      <c r="F137" s="45" t="str">
        <f t="array" ref="F137">IFERROR(VLOOKUP(E137,Avaluacio[],COLUMN(Avaluacio[Ítem]),FALSE),"")</f>
        <v>Catàleg de dades i documents interoperables</v>
      </c>
      <c r="G137" t="str">
        <f t="array" ref="G137">IFERROR(VLOOKUP(E137,Avaluacio[],COLUMN(Avaluacio[Família]),FALSE),"")</f>
        <v>Serveis i tràmits</v>
      </c>
      <c r="H137" t="str">
        <f t="array" ref="H137">IFERROR(VLOOKUP(E137,Avaluacio[],COLUMN(Avaluacio[Subfamília]),FALSE),"")</f>
        <v>Tràmits</v>
      </c>
      <c r="I137" s="6" t="str">
        <f t="array" ref="I137">IFERROR(VLOOKUP(E137,Avaluacio[],COLUMN(Avaluacio[Contingut]),FALSE),"")</f>
        <v>Sí</v>
      </c>
      <c r="J137" s="6" t="str">
        <f t="array" ref="J137">IFERROR(VLOOKUP(E137,Avaluacio[],COLUMN(Avaluacio[Actualització]),FALSE),"")</f>
        <v>Sí</v>
      </c>
      <c r="K137" s="6" t="str">
        <f t="array" ref="K137">IFERROR(VLOOKUP(E137,Avaluacio[],COLUMN(#REF!),FALSE),"")</f>
        <v/>
      </c>
      <c r="L137" t="str">
        <f t="array" ref="L137">IFERROR(VLOOKUP(E137,Avaluacio[],COLUMN(Avaluacio[Grau de compliment]),FALSE),"")</f>
        <v>Compleix totalment</v>
      </c>
      <c r="M137" s="8">
        <f t="array" ref="M137">IFERROR(VLOOKUP(E137,Avaluacio[],COLUMN(Avaluacio[% compliment]),FALSE),"")</f>
        <v>1</v>
      </c>
    </row>
    <row r="138" spans="1:13" ht="28.5" x14ac:dyDescent="0.2">
      <c r="A138" t="str">
        <f t="array" ref="A138">IFERROR(IF(VLOOKUP($E138,Avaluacio[],COLUMN(Avaluacio[Codi ítem]),FALSE)=$E138,'1_Plantejament'!$B$5,""),"")</f>
        <v xml:space="preserve">Ajuntament de la Tallada d'Empordà </v>
      </c>
      <c r="B138">
        <f t="array" ref="B138">IFERROR(IF(VLOOKUP($E138,Avaluacio[],COLUMN(Avaluacio[Codi ítem]),FALSE)=$E138,'1_Plantejament'!$B$9,""),"")</f>
        <v>2026</v>
      </c>
      <c r="C138">
        <f t="array" ref="C138">IFERROR(IF(VLOOKUP($E138,Avaluacio[],COLUMN(Avaluacio[Codi ítem]),FALSE)=$E138,'1_Plantejament'!$B$10,""),"")</f>
        <v>46205</v>
      </c>
      <c r="D138" s="6" t="str">
        <f t="array" ref="D138">IFERROR(IF(VLOOKUP($E138,Avaluacio[],COLUMN(Avaluacio[Codi ítem]),FALSE)=$E138,'1_Plantejament'!$B$7,""),"")</f>
        <v>Fase 5</v>
      </c>
      <c r="E138" s="6" t="str">
        <f t="array" ref="E138">IFERROR(INDEX(Avaluacio[Codi ítem],(MATCH(0,INDEX(COUNTIF(E$1:E137,Avaluacio[Codi ítem]),0,0)+INDEX(Avaluacio[Avaluable]="No",0,0),0))),"")</f>
        <v>XGO138</v>
      </c>
      <c r="F138" s="45" t="str">
        <f t="array" ref="F138">IFERROR(VLOOKUP(E138,Avaluacio[],COLUMN(Avaluacio[Ítem]),FALSE),"")</f>
        <v>Gestor de representacions</v>
      </c>
      <c r="G138" t="str">
        <f t="array" ref="G138">IFERROR(VLOOKUP(E138,Avaluacio[],COLUMN(Avaluacio[Família]),FALSE),"")</f>
        <v>Serveis i tràmits</v>
      </c>
      <c r="H138" t="str">
        <f t="array" ref="H138">IFERROR(VLOOKUP(E138,Avaluacio[],COLUMN(Avaluacio[Subfamília]),FALSE),"")</f>
        <v>Tràmits</v>
      </c>
      <c r="I138" s="6" t="str">
        <f t="array" ref="I138">IFERROR(VLOOKUP(E138,Avaluacio[],COLUMN(Avaluacio[Contingut]),FALSE),"")</f>
        <v>Sí</v>
      </c>
      <c r="J138" s="6" t="str">
        <f t="array" ref="J138">IFERROR(VLOOKUP(E138,Avaluacio[],COLUMN(Avaluacio[Actualització]),FALSE),"")</f>
        <v>Sí</v>
      </c>
      <c r="K138" s="6" t="str">
        <f t="array" ref="K138">IFERROR(VLOOKUP(E138,Avaluacio[],COLUMN(#REF!),FALSE),"")</f>
        <v/>
      </c>
      <c r="L138" t="str">
        <f t="array" ref="L138">IFERROR(VLOOKUP(E138,Avaluacio[],COLUMN(Avaluacio[Grau de compliment]),FALSE),"")</f>
        <v>Compleix totalment</v>
      </c>
      <c r="M138" s="8">
        <f t="array" ref="M138">IFERROR(VLOOKUP(E138,Avaluacio[],COLUMN(Avaluacio[% compliment]),FALSE),"")</f>
        <v>1</v>
      </c>
    </row>
    <row r="139" spans="1:13" ht="30" x14ac:dyDescent="0.2">
      <c r="A139" t="str">
        <f t="array" ref="A139">IFERROR(IF(VLOOKUP($E139,Avaluacio[],COLUMN(Avaluacio[Codi ítem]),FALSE)=$E139,'1_Plantejament'!$B$5,""),"")</f>
        <v xml:space="preserve">Ajuntament de la Tallada d'Empordà </v>
      </c>
      <c r="B139">
        <f t="array" ref="B139">IFERROR(IF(VLOOKUP($E139,Avaluacio[],COLUMN(Avaluacio[Codi ítem]),FALSE)=$E139,'1_Plantejament'!$B$9,""),"")</f>
        <v>2026</v>
      </c>
      <c r="C139">
        <f t="array" ref="C139">IFERROR(IF(VLOOKUP($E139,Avaluacio[],COLUMN(Avaluacio[Codi ítem]),FALSE)=$E139,'1_Plantejament'!$B$10,""),"")</f>
        <v>46205</v>
      </c>
      <c r="D139" s="6" t="str">
        <f t="array" ref="D139">IFERROR(IF(VLOOKUP($E139,Avaluacio[],COLUMN(Avaluacio[Codi ítem]),FALSE)=$E139,'1_Plantejament'!$B$7,""),"")</f>
        <v>Fase 5</v>
      </c>
      <c r="E139" s="6" t="str">
        <f t="array" ref="E139">IFERROR(INDEX(Avaluacio[Codi ítem],(MATCH(0,INDEX(COUNTIF(E$1:E138,Avaluacio[Codi ítem]),0,0)+INDEX(Avaluacio[Avaluable]="No",0,0),0))),"")</f>
        <v>XGO139</v>
      </c>
      <c r="F139" s="45" t="str">
        <f t="array" ref="F139">IFERROR(VLOOKUP(E139,Avaluacio[],COLUMN(Avaluacio[Ítem]),FALSE),"")</f>
        <v>Finestra única empresarial (FUE)</v>
      </c>
      <c r="G139" t="str">
        <f t="array" ref="G139">IFERROR(VLOOKUP(E139,Avaluacio[],COLUMN(Avaluacio[Família]),FALSE),"")</f>
        <v>Serveis i tràmits</v>
      </c>
      <c r="H139" t="str">
        <f t="array" ref="H139">IFERROR(VLOOKUP(E139,Avaluacio[],COLUMN(Avaluacio[Subfamília]),FALSE),"")</f>
        <v>Tràmits</v>
      </c>
      <c r="I139" s="6" t="str">
        <f t="array" ref="I139">IFERROR(VLOOKUP(E139,Avaluacio[],COLUMN(Avaluacio[Contingut]),FALSE),"")</f>
        <v>Sí</v>
      </c>
      <c r="J139" s="6" t="str">
        <f t="array" ref="J139">IFERROR(VLOOKUP(E139,Avaluacio[],COLUMN(Avaluacio[Actualització]),FALSE),"")</f>
        <v>Sí</v>
      </c>
      <c r="K139" s="6" t="str">
        <f t="array" ref="K139">IFERROR(VLOOKUP(E139,Avaluacio[],COLUMN(#REF!),FALSE),"")</f>
        <v/>
      </c>
      <c r="L139" t="str">
        <f t="array" ref="L139">IFERROR(VLOOKUP(E139,Avaluacio[],COLUMN(Avaluacio[Grau de compliment]),FALSE),"")</f>
        <v>Compleix totalment</v>
      </c>
      <c r="M139" s="8">
        <f t="array" ref="M139">IFERROR(VLOOKUP(E139,Avaluacio[],COLUMN(Avaluacio[% compliment]),FALSE),"")</f>
        <v>1</v>
      </c>
    </row>
    <row r="140" spans="1:13" ht="45" x14ac:dyDescent="0.2">
      <c r="A140" t="str">
        <f t="array" ref="A140">IFERROR(IF(VLOOKUP($E140,Avaluacio[],COLUMN(Avaluacio[Codi ítem]),FALSE)=$E140,'1_Plantejament'!$B$5,""),"")</f>
        <v xml:space="preserve">Ajuntament de la Tallada d'Empordà </v>
      </c>
      <c r="B140">
        <f t="array" ref="B140">IFERROR(IF(VLOOKUP($E140,Avaluacio[],COLUMN(Avaluacio[Codi ítem]),FALSE)=$E140,'1_Plantejament'!$B$9,""),"")</f>
        <v>2026</v>
      </c>
      <c r="C140">
        <f t="array" ref="C140">IFERROR(IF(VLOOKUP($E140,Avaluacio[],COLUMN(Avaluacio[Codi ítem]),FALSE)=$E140,'1_Plantejament'!$B$10,""),"")</f>
        <v>46205</v>
      </c>
      <c r="D140" s="6" t="str">
        <f t="array" ref="D140">IFERROR(IF(VLOOKUP($E140,Avaluacio[],COLUMN(Avaluacio[Codi ítem]),FALSE)=$E140,'1_Plantejament'!$B$7,""),"")</f>
        <v>Fase 5</v>
      </c>
      <c r="E140" s="6" t="str">
        <f t="array" ref="E140">IFERROR(INDEX(Avaluacio[Codi ítem],(MATCH(0,INDEX(COUNTIF(E$1:E139,Avaluacio[Codi ítem]),0,0)+INDEX(Avaluacio[Avaluable]="No",0,0),0))),"")</f>
        <v>XGO140</v>
      </c>
      <c r="F140" s="45" t="str">
        <f t="array" ref="F140">IFERROR(VLOOKUP(E140,Avaluacio[],COLUMN(Avaluacio[Ítem]),FALSE),"")</f>
        <v>Verificació de documents mitjançant Codi Segur de Verificació (CSV)</v>
      </c>
      <c r="G140" t="str">
        <f t="array" ref="G140">IFERROR(VLOOKUP(E140,Avaluacio[],COLUMN(Avaluacio[Família]),FALSE),"")</f>
        <v>Serveis i tràmits</v>
      </c>
      <c r="H140" t="str">
        <f t="array" ref="H140">IFERROR(VLOOKUP(E140,Avaluacio[],COLUMN(Avaluacio[Subfamília]),FALSE),"")</f>
        <v>Tràmits</v>
      </c>
      <c r="I140" s="6" t="str">
        <f t="array" ref="I140">IFERROR(VLOOKUP(E140,Avaluacio[],COLUMN(Avaluacio[Contingut]),FALSE),"")</f>
        <v>Sí</v>
      </c>
      <c r="J140" s="6" t="str">
        <f t="array" ref="J140">IFERROR(VLOOKUP(E140,Avaluacio[],COLUMN(Avaluacio[Actualització]),FALSE),"")</f>
        <v>Sí</v>
      </c>
      <c r="K140" s="6" t="str">
        <f t="array" ref="K140">IFERROR(VLOOKUP(E140,Avaluacio[],COLUMN(#REF!),FALSE),"")</f>
        <v/>
      </c>
      <c r="L140" t="str">
        <f t="array" ref="L140">IFERROR(VLOOKUP(E140,Avaluacio[],COLUMN(Avaluacio[Grau de compliment]),FALSE),"")</f>
        <v>Compleix totalment</v>
      </c>
      <c r="M140" s="8">
        <f t="array" ref="M140">IFERROR(VLOOKUP(E140,Avaluacio[],COLUMN(Avaluacio[% compliment]),FALSE),"")</f>
        <v>1</v>
      </c>
    </row>
    <row r="141" spans="1:13" ht="30" x14ac:dyDescent="0.2">
      <c r="A141" t="str">
        <f t="array" ref="A141">IFERROR(IF(VLOOKUP($E141,Avaluacio[],COLUMN(Avaluacio[Codi ítem]),FALSE)=$E141,'1_Plantejament'!$B$5,""),"")</f>
        <v xml:space="preserve">Ajuntament de la Tallada d'Empordà </v>
      </c>
      <c r="B141">
        <f t="array" ref="B141">IFERROR(IF(VLOOKUP($E141,Avaluacio[],COLUMN(Avaluacio[Codi ítem]),FALSE)=$E141,'1_Plantejament'!$B$9,""),"")</f>
        <v>2026</v>
      </c>
      <c r="C141">
        <f t="array" ref="C141">IFERROR(IF(VLOOKUP($E141,Avaluacio[],COLUMN(Avaluacio[Codi ítem]),FALSE)=$E141,'1_Plantejament'!$B$10,""),"")</f>
        <v>46205</v>
      </c>
      <c r="D141" s="6" t="str">
        <f t="array" ref="D141">IFERROR(IF(VLOOKUP($E141,Avaluacio[],COLUMN(Avaluacio[Codi ítem]),FALSE)=$E141,'1_Plantejament'!$B$7,""),"")</f>
        <v>Fase 5</v>
      </c>
      <c r="E141" s="6" t="str">
        <f t="array" ref="E141">IFERROR(INDEX(Avaluacio[Codi ítem],(MATCH(0,INDEX(COUNTIF(E$1:E140,Avaluacio[Codi ítem]),0,0)+INDEX(Avaluacio[Avaluable]="No",0,0),0))),"")</f>
        <v>XGO141</v>
      </c>
      <c r="F141" s="45" t="str">
        <f t="array" ref="F141">IFERROR(VLOOKUP(E141,Avaluacio[],COLUMN(Avaluacio[Ítem]),FALSE),"")</f>
        <v>Espais de participació ciutadana</v>
      </c>
      <c r="G141" t="str">
        <f t="array" ref="G141">IFERROR(VLOOKUP(E141,Avaluacio[],COLUMN(Avaluacio[Família]),FALSE),"")</f>
        <v>Participació</v>
      </c>
      <c r="H141" t="str">
        <f t="array" ref="H141">IFERROR(VLOOKUP(E141,Avaluacio[],COLUMN(Avaluacio[Subfamília]),FALSE),"")</f>
        <v>Participació</v>
      </c>
      <c r="I141" s="6" t="str">
        <f t="array" ref="I141">IFERROR(VLOOKUP(E141,Avaluacio[],COLUMN(Avaluacio[Contingut]),FALSE),"")</f>
        <v>Sí</v>
      </c>
      <c r="J141" s="6" t="str">
        <f t="array" ref="J141">IFERROR(VLOOKUP(E141,Avaluacio[],COLUMN(Avaluacio[Actualització]),FALSE),"")</f>
        <v>Sí</v>
      </c>
      <c r="K141" s="6" t="str">
        <f t="array" ref="K141">IFERROR(VLOOKUP(E141,Avaluacio[],COLUMN(#REF!),FALSE),"")</f>
        <v/>
      </c>
      <c r="L141" t="str">
        <f t="array" ref="L141">IFERROR(VLOOKUP(E141,Avaluacio[],COLUMN(Avaluacio[Grau de compliment]),FALSE),"")</f>
        <v>Compleix totalment</v>
      </c>
      <c r="M141" s="8">
        <f t="array" ref="M141">IFERROR(VLOOKUP(E141,Avaluacio[],COLUMN(Avaluacio[% compliment]),FALSE),"")</f>
        <v>1</v>
      </c>
    </row>
    <row r="142" spans="1:13" ht="28.5" x14ac:dyDescent="0.2">
      <c r="A142" t="str">
        <f t="array" ref="A142">IFERROR(IF(VLOOKUP($E142,Avaluacio[],COLUMN(Avaluacio[Codi ítem]),FALSE)=$E142,'1_Plantejament'!$B$5,""),"")</f>
        <v xml:space="preserve">Ajuntament de la Tallada d'Empordà </v>
      </c>
      <c r="B142">
        <f t="array" ref="B142">IFERROR(IF(VLOOKUP($E142,Avaluacio[],COLUMN(Avaluacio[Codi ítem]),FALSE)=$E142,'1_Plantejament'!$B$9,""),"")</f>
        <v>2026</v>
      </c>
      <c r="C142">
        <f t="array" ref="C142">IFERROR(IF(VLOOKUP($E142,Avaluacio[],COLUMN(Avaluacio[Codi ítem]),FALSE)=$E142,'1_Plantejament'!$B$10,""),"")</f>
        <v>46205</v>
      </c>
      <c r="D142" s="6" t="str">
        <f t="array" ref="D142">IFERROR(IF(VLOOKUP($E142,Avaluacio[],COLUMN(Avaluacio[Codi ítem]),FALSE)=$E142,'1_Plantejament'!$B$7,""),"")</f>
        <v>Fase 5</v>
      </c>
      <c r="E142" s="6" t="str">
        <f t="array" ref="E142">IFERROR(INDEX(Avaluacio[Codi ítem],(MATCH(0,INDEX(COUNTIF(E$1:E141,Avaluacio[Codi ítem]),0,0)+INDEX(Avaluacio[Avaluable]="No",0,0),0))),"")</f>
        <v>XGO142</v>
      </c>
      <c r="F142" s="45" t="str">
        <f t="array" ref="F142">IFERROR(VLOOKUP(E142,Avaluacio[],COLUMN(Avaluacio[Ítem]),FALSE),"")</f>
        <v>Xarxes socials</v>
      </c>
      <c r="G142" t="str">
        <f t="array" ref="G142">IFERROR(VLOOKUP(E142,Avaluacio[],COLUMN(Avaluacio[Família]),FALSE),"")</f>
        <v>Participació</v>
      </c>
      <c r="H142" t="str">
        <f t="array" ref="H142">IFERROR(VLOOKUP(E142,Avaluacio[],COLUMN(Avaluacio[Subfamília]),FALSE),"")</f>
        <v>Participació</v>
      </c>
      <c r="I142" s="6" t="str">
        <f t="array" ref="I142">IFERROR(VLOOKUP(E142,Avaluacio[],COLUMN(Avaluacio[Contingut]),FALSE),"")</f>
        <v>Sí</v>
      </c>
      <c r="J142" s="6" t="str">
        <f t="array" ref="J142">IFERROR(VLOOKUP(E142,Avaluacio[],COLUMN(Avaluacio[Actualització]),FALSE),"")</f>
        <v>Sí</v>
      </c>
      <c r="K142" s="6" t="str">
        <f t="array" ref="K142">IFERROR(VLOOKUP(E142,Avaluacio[],COLUMN(#REF!),FALSE),"")</f>
        <v/>
      </c>
      <c r="L142" t="str">
        <f t="array" ref="L142">IFERROR(VLOOKUP(E142,Avaluacio[],COLUMN(Avaluacio[Grau de compliment]),FALSE),"")</f>
        <v>Compleix totalment</v>
      </c>
      <c r="M142" s="8">
        <f t="array" ref="M142">IFERROR(VLOOKUP(E142,Avaluacio[],COLUMN(Avaluacio[% compliment]),FALSE),"")</f>
        <v>1</v>
      </c>
    </row>
    <row r="143" spans="1:13" ht="30" x14ac:dyDescent="0.2">
      <c r="A143" t="str">
        <f t="array" ref="A143">IFERROR(IF(VLOOKUP($E143,Avaluacio[],COLUMN(Avaluacio[Codi ítem]),FALSE)=$E143,'1_Plantejament'!$B$5,""),"")</f>
        <v xml:space="preserve">Ajuntament de la Tallada d'Empordà </v>
      </c>
      <c r="B143">
        <f t="array" ref="B143">IFERROR(IF(VLOOKUP($E143,Avaluacio[],COLUMN(Avaluacio[Codi ítem]),FALSE)=$E143,'1_Plantejament'!$B$9,""),"")</f>
        <v>2026</v>
      </c>
      <c r="C143">
        <f t="array" ref="C143">IFERROR(IF(VLOOKUP($E143,Avaluacio[],COLUMN(Avaluacio[Codi ítem]),FALSE)=$E143,'1_Plantejament'!$B$10,""),"")</f>
        <v>46205</v>
      </c>
      <c r="D143" s="6" t="str">
        <f t="array" ref="D143">IFERROR(IF(VLOOKUP($E143,Avaluacio[],COLUMN(Avaluacio[Codi ítem]),FALSE)=$E143,'1_Plantejament'!$B$7,""),"")</f>
        <v>Fase 5</v>
      </c>
      <c r="E143" s="6" t="str">
        <f t="array" ref="E143">IFERROR(INDEX(Avaluacio[Codi ítem],(MATCH(0,INDEX(COUNTIF(E$1:E142,Avaluacio[Codi ítem]),0,0)+INDEX(Avaluacio[Avaluable]="No",0,0),0))),"")</f>
        <v>XGO143</v>
      </c>
      <c r="F143" s="45" t="str">
        <f t="array" ref="F143">IFERROR(VLOOKUP(E143,Avaluacio[],COLUMN(Avaluacio[Ítem]),FALSE),"")</f>
        <v>Processos participatius en tràmit</v>
      </c>
      <c r="G143" t="str">
        <f t="array" ref="G143">IFERROR(VLOOKUP(E143,Avaluacio[],COLUMN(Avaluacio[Família]),FALSE),"")</f>
        <v>Participació</v>
      </c>
      <c r="H143" t="str">
        <f t="array" ref="H143">IFERROR(VLOOKUP(E143,Avaluacio[],COLUMN(Avaluacio[Subfamília]),FALSE),"")</f>
        <v>Participació</v>
      </c>
      <c r="I143" s="6" t="str">
        <f t="array" ref="I143">IFERROR(VLOOKUP(E143,Avaluacio[],COLUMN(Avaluacio[Contingut]),FALSE),"")</f>
        <v>Sí</v>
      </c>
      <c r="J143" s="6" t="str">
        <f t="array" ref="J143">IFERROR(VLOOKUP(E143,Avaluacio[],COLUMN(Avaluacio[Actualització]),FALSE),"")</f>
        <v>Sí</v>
      </c>
      <c r="K143" s="6" t="str">
        <f t="array" ref="K143">IFERROR(VLOOKUP(E143,Avaluacio[],COLUMN(#REF!),FALSE),"")</f>
        <v/>
      </c>
      <c r="L143" t="str">
        <f t="array" ref="L143">IFERROR(VLOOKUP(E143,Avaluacio[],COLUMN(Avaluacio[Grau de compliment]),FALSE),"")</f>
        <v>Compleix totalment</v>
      </c>
      <c r="M143" s="8">
        <f t="array" ref="M143">IFERROR(VLOOKUP(E143,Avaluacio[],COLUMN(Avaluacio[% compliment]),FALSE),"")</f>
        <v>1</v>
      </c>
    </row>
    <row r="144" spans="1:13" ht="45" x14ac:dyDescent="0.2">
      <c r="A144" t="str">
        <f t="array" ref="A144">IFERROR(IF(VLOOKUP($E144,Avaluacio[],COLUMN(Avaluacio[Codi ítem]),FALSE)=$E144,'1_Plantejament'!$B$5,""),"")</f>
        <v xml:space="preserve">Ajuntament de la Tallada d'Empordà </v>
      </c>
      <c r="B144">
        <f t="array" ref="B144">IFERROR(IF(VLOOKUP($E144,Avaluacio[],COLUMN(Avaluacio[Codi ítem]),FALSE)=$E144,'1_Plantejament'!$B$9,""),"")</f>
        <v>2026</v>
      </c>
      <c r="C144">
        <f t="array" ref="C144">IFERROR(IF(VLOOKUP($E144,Avaluacio[],COLUMN(Avaluacio[Codi ítem]),FALSE)=$E144,'1_Plantejament'!$B$10,""),"")</f>
        <v>46205</v>
      </c>
      <c r="D144" s="6" t="str">
        <f t="array" ref="D144">IFERROR(IF(VLOOKUP($E144,Avaluacio[],COLUMN(Avaluacio[Codi ítem]),FALSE)=$E144,'1_Plantejament'!$B$7,""),"")</f>
        <v>Fase 5</v>
      </c>
      <c r="E144" s="6" t="str">
        <f t="array" ref="E144">IFERROR(INDEX(Avaluacio[Codi ítem],(MATCH(0,INDEX(COUNTIF(E$1:E143,Avaluacio[Codi ítem]),0,0)+INDEX(Avaluacio[Avaluable]="No",0,0),0))),"")</f>
        <v>XGO144</v>
      </c>
      <c r="F144" s="45" t="str">
        <f t="array" ref="F144">IFERROR(VLOOKUP(E144,Avaluacio[],COLUMN(Avaluacio[Ítem]),FALSE),"")</f>
        <v>Consultes més freqüents rebudes pels ciutadans o organitzacions</v>
      </c>
      <c r="G144" t="str">
        <f t="array" ref="G144">IFERROR(VLOOKUP(E144,Avaluacio[],COLUMN(Avaluacio[Família]),FALSE),"")</f>
        <v>Participació</v>
      </c>
      <c r="H144" t="str">
        <f t="array" ref="H144">IFERROR(VLOOKUP(E144,Avaluacio[],COLUMN(Avaluacio[Subfamília]),FALSE),"")</f>
        <v>Participació</v>
      </c>
      <c r="I144" s="6" t="str">
        <f t="array" ref="I144">IFERROR(VLOOKUP(E144,Avaluacio[],COLUMN(Avaluacio[Contingut]),FALSE),"")</f>
        <v>Sí</v>
      </c>
      <c r="J144" s="6" t="str">
        <f t="array" ref="J144">IFERROR(VLOOKUP(E144,Avaluacio[],COLUMN(Avaluacio[Actualització]),FALSE),"")</f>
        <v>Sí</v>
      </c>
      <c r="K144" s="6" t="str">
        <f t="array" ref="K144">IFERROR(VLOOKUP(E144,Avaluacio[],COLUMN(#REF!),FALSE),"")</f>
        <v/>
      </c>
      <c r="L144" t="str">
        <f t="array" ref="L144">IFERROR(VLOOKUP(E144,Avaluacio[],COLUMN(Avaluacio[Grau de compliment]),FALSE),"")</f>
        <v>Compleix totalment</v>
      </c>
      <c r="M144" s="8">
        <f t="array" ref="M144">IFERROR(VLOOKUP(E144,Avaluacio[],COLUMN(Avaluacio[% compliment]),FALSE),"")</f>
        <v>1</v>
      </c>
    </row>
    <row r="145" spans="1:13" ht="30" x14ac:dyDescent="0.2">
      <c r="A145" t="str">
        <f t="array" ref="A145">IFERROR(IF(VLOOKUP($E145,Avaluacio[],COLUMN(Avaluacio[Codi ítem]),FALSE)=$E145,'1_Plantejament'!$B$5,""),"")</f>
        <v xml:space="preserve">Ajuntament de la Tallada d'Empordà </v>
      </c>
      <c r="B145">
        <f t="array" ref="B145">IFERROR(IF(VLOOKUP($E145,Avaluacio[],COLUMN(Avaluacio[Codi ítem]),FALSE)=$E145,'1_Plantejament'!$B$9,""),"")</f>
        <v>2026</v>
      </c>
      <c r="C145">
        <f t="array" ref="C145">IFERROR(IF(VLOOKUP($E145,Avaluacio[],COLUMN(Avaluacio[Codi ítem]),FALSE)=$E145,'1_Plantejament'!$B$10,""),"")</f>
        <v>46205</v>
      </c>
      <c r="D145" s="6" t="str">
        <f t="array" ref="D145">IFERROR(IF(VLOOKUP($E145,Avaluacio[],COLUMN(Avaluacio[Codi ítem]),FALSE)=$E145,'1_Plantejament'!$B$7,""),"")</f>
        <v>Fase 5</v>
      </c>
      <c r="E145" s="6" t="str">
        <f t="array" ref="E145">IFERROR(INDEX(Avaluacio[Codi ítem],(MATCH(0,INDEX(COUNTIF(E$1:E144,Avaluacio[Codi ítem]),0,0)+INDEX(Avaluacio[Avaluable]="No",0,0),0))),"")</f>
        <v>XGO145</v>
      </c>
      <c r="F145" s="45" t="str">
        <f t="array" ref="F145">IFERROR(VLOOKUP(E145,Avaluacio[],COLUMN(Avaluacio[Ítem]),FALSE),"")</f>
        <v>Directori d'associacions i entitats</v>
      </c>
      <c r="G145" t="str">
        <f t="array" ref="G145">IFERROR(VLOOKUP(E145,Avaluacio[],COLUMN(Avaluacio[Família]),FALSE),"")</f>
        <v>Participació</v>
      </c>
      <c r="H145" t="str">
        <f t="array" ref="H145">IFERROR(VLOOKUP(E145,Avaluacio[],COLUMN(Avaluacio[Subfamília]),FALSE),"")</f>
        <v>Participació</v>
      </c>
      <c r="I145" s="6" t="str">
        <f t="array" ref="I145">IFERROR(VLOOKUP(E145,Avaluacio[],COLUMN(Avaluacio[Contingut]),FALSE),"")</f>
        <v>Sí</v>
      </c>
      <c r="J145" s="6" t="str">
        <f t="array" ref="J145">IFERROR(VLOOKUP(E145,Avaluacio[],COLUMN(Avaluacio[Actualització]),FALSE),"")</f>
        <v>Sí</v>
      </c>
      <c r="K145" s="6" t="str">
        <f t="array" ref="K145">IFERROR(VLOOKUP(E145,Avaluacio[],COLUMN(#REF!),FALSE),"")</f>
        <v/>
      </c>
      <c r="L145" t="str">
        <f t="array" ref="L145">IFERROR(VLOOKUP(E145,Avaluacio[],COLUMN(Avaluacio[Grau de compliment]),FALSE),"")</f>
        <v>Compleix totalment</v>
      </c>
      <c r="M145" s="8">
        <f t="array" ref="M145">IFERROR(VLOOKUP(E145,Avaluacio[],COLUMN(Avaluacio[% compliment]),FALSE),"")</f>
        <v>1</v>
      </c>
    </row>
    <row r="146" spans="1:13" ht="45" x14ac:dyDescent="0.2">
      <c r="A146" t="str">
        <f t="array" ref="A146">IFERROR(IF(VLOOKUP($E146,Avaluacio[],COLUMN(Avaluacio[Codi ítem]),FALSE)=$E146,'1_Plantejament'!$B$5,""),"")</f>
        <v xml:space="preserve">Ajuntament de la Tallada d'Empordà </v>
      </c>
      <c r="B146">
        <f t="array" ref="B146">IFERROR(IF(VLOOKUP($E146,Avaluacio[],COLUMN(Avaluacio[Codi ítem]),FALSE)=$E146,'1_Plantejament'!$B$9,""),"")</f>
        <v>2026</v>
      </c>
      <c r="C146">
        <f t="array" ref="C146">IFERROR(IF(VLOOKUP($E146,Avaluacio[],COLUMN(Avaluacio[Codi ítem]),FALSE)=$E146,'1_Plantejament'!$B$10,""),"")</f>
        <v>46205</v>
      </c>
      <c r="D146" s="6" t="str">
        <f t="array" ref="D146">IFERROR(IF(VLOOKUP($E146,Avaluacio[],COLUMN(Avaluacio[Codi ítem]),FALSE)=$E146,'1_Plantejament'!$B$7,""),"")</f>
        <v>Fase 5</v>
      </c>
      <c r="E146" s="6" t="str">
        <f t="array" ref="E146">IFERROR(INDEX(Avaluacio[Codi ítem],(MATCH(0,INDEX(COUNTIF(E$1:E145,Avaluacio[Codi ítem]),0,0)+INDEX(Avaluacio[Avaluable]="No",0,0),0))),"")</f>
        <v>XGO146</v>
      </c>
      <c r="F146" s="45" t="str">
        <f t="array" ref="F146">IFERROR(VLOOKUP(E146,Avaluacio[],COLUMN(Avaluacio[Ítem]),FALSE),"")</f>
        <v>Normativa, reglaments i directrius de participació ciutadana</v>
      </c>
      <c r="G146" t="str">
        <f t="array" ref="G146">IFERROR(VLOOKUP(E146,Avaluacio[],COLUMN(Avaluacio[Família]),FALSE),"")</f>
        <v>Participació</v>
      </c>
      <c r="H146" t="str">
        <f t="array" ref="H146">IFERROR(VLOOKUP(E146,Avaluacio[],COLUMN(Avaluacio[Subfamília]),FALSE),"")</f>
        <v>Participació</v>
      </c>
      <c r="I146" s="6" t="str">
        <f t="array" ref="I146">IFERROR(VLOOKUP(E146,Avaluacio[],COLUMN(Avaluacio[Contingut]),FALSE),"")</f>
        <v>No</v>
      </c>
      <c r="J146" s="6" t="str">
        <f t="array" ref="J146">IFERROR(VLOOKUP(E146,Avaluacio[],COLUMN(Avaluacio[Actualització]),FALSE),"")</f>
        <v>No</v>
      </c>
      <c r="K146" s="6" t="str">
        <f t="array" ref="K146">IFERROR(VLOOKUP(E146,Avaluacio[],COLUMN(#REF!),FALSE),"")</f>
        <v/>
      </c>
      <c r="L146" t="str">
        <f t="array" ref="L146">IFERROR(VLOOKUP(E146,Avaluacio[],COLUMN(Avaluacio[Grau de compliment]),FALSE),"")</f>
        <v>No compleix</v>
      </c>
      <c r="M146" s="8">
        <f t="array" ref="M146">IFERROR(VLOOKUP(E146,Avaluacio[],COLUMN(Avaluacio[% compliment]),FALSE),"")</f>
        <v>0</v>
      </c>
    </row>
    <row r="147" spans="1:13" ht="30" x14ac:dyDescent="0.2">
      <c r="A147" t="str">
        <f t="array" ref="A147">IFERROR(IF(VLOOKUP($E147,Avaluacio[],COLUMN(Avaluacio[Codi ítem]),FALSE)=$E147,'1_Plantejament'!$B$5,""),"")</f>
        <v xml:space="preserve">Ajuntament de la Tallada d'Empordà </v>
      </c>
      <c r="B147">
        <f t="array" ref="B147">IFERROR(IF(VLOOKUP($E147,Avaluacio[],COLUMN(Avaluacio[Codi ítem]),FALSE)=$E147,'1_Plantejament'!$B$9,""),"")</f>
        <v>2026</v>
      </c>
      <c r="C147">
        <f t="array" ref="C147">IFERROR(IF(VLOOKUP($E147,Avaluacio[],COLUMN(Avaluacio[Codi ítem]),FALSE)=$E147,'1_Plantejament'!$B$10,""),"")</f>
        <v>46205</v>
      </c>
      <c r="D147" s="6" t="str">
        <f t="array" ref="D147">IFERROR(IF(VLOOKUP($E147,Avaluacio[],COLUMN(Avaluacio[Codi ítem]),FALSE)=$E147,'1_Plantejament'!$B$7,""),"")</f>
        <v>Fase 5</v>
      </c>
      <c r="E147" s="6" t="str">
        <f t="array" ref="E147">IFERROR(INDEX(Avaluacio[Codi ítem],(MATCH(0,INDEX(COUNTIF(E$1:E146,Avaluacio[Codi ítem]),0,0)+INDEX(Avaluacio[Avaluable]="No",0,0),0))),"")</f>
        <v>XGO147</v>
      </c>
      <c r="F147" s="45" t="str">
        <f t="array" ref="F147">IFERROR(VLOOKUP(E147,Avaluacio[],COLUMN(Avaluacio[Ítem]),FALSE),"")</f>
        <v>Agenda i activitats de les associacions</v>
      </c>
      <c r="G147" t="str">
        <f t="array" ref="G147">IFERROR(VLOOKUP(E147,Avaluacio[],COLUMN(Avaluacio[Família]),FALSE),"")</f>
        <v>Participació</v>
      </c>
      <c r="H147" t="str">
        <f t="array" ref="H147">IFERROR(VLOOKUP(E147,Avaluacio[],COLUMN(Avaluacio[Subfamília]),FALSE),"")</f>
        <v>Participació</v>
      </c>
      <c r="I147" s="6" t="str">
        <f t="array" ref="I147">IFERROR(VLOOKUP(E147,Avaluacio[],COLUMN(Avaluacio[Contingut]),FALSE),"")</f>
        <v>Sí</v>
      </c>
      <c r="J147" s="6" t="str">
        <f t="array" ref="J147">IFERROR(VLOOKUP(E147,Avaluacio[],COLUMN(Avaluacio[Actualització]),FALSE),"")</f>
        <v>Sí</v>
      </c>
      <c r="K147" s="6" t="str">
        <f t="array" ref="K147">IFERROR(VLOOKUP(E147,Avaluacio[],COLUMN(#REF!),FALSE),"")</f>
        <v/>
      </c>
      <c r="L147" t="str">
        <f t="array" ref="L147">IFERROR(VLOOKUP(E147,Avaluacio[],COLUMN(Avaluacio[Grau de compliment]),FALSE),"")</f>
        <v>Compleix totalment</v>
      </c>
      <c r="M147" s="8">
        <f t="array" ref="M147">IFERROR(VLOOKUP(E147,Avaluacio[],COLUMN(Avaluacio[% compliment]),FALSE),"")</f>
        <v>1</v>
      </c>
    </row>
    <row r="148" spans="1:13" x14ac:dyDescent="0.2">
      <c r="A148" t="str">
        <f t="array" ref="A148">IFERROR(IF(VLOOKUP($E148,Avaluacio[],COLUMN(Avaluacio[Codi ítem]),FALSE)=$E148,'1_Plantejament'!$B$5,""),"")</f>
        <v/>
      </c>
      <c r="B148" t="str">
        <f t="array" ref="B148">IFERROR(IF(VLOOKUP($E148,Avaluacio[],COLUMN(Avaluacio[Codi ítem]),FALSE)=$E148,'1_Plantejament'!$B$9,""),"")</f>
        <v/>
      </c>
      <c r="C148" t="str">
        <f t="array" ref="C148">IFERROR(IF(VLOOKUP($E148,Avaluacio[],COLUMN(Avaluacio[Codi ítem]),FALSE)=$E148,'1_Plantejament'!$B$10,""),"")</f>
        <v/>
      </c>
      <c r="D148" s="6" t="str">
        <f t="array" ref="D148">IFERROR(IF(VLOOKUP($E148,Avaluacio[],COLUMN(Avaluacio[Codi ítem]),FALSE)=$E148,'1_Plantejament'!$B$7,""),"")</f>
        <v/>
      </c>
      <c r="E148" s="6" t="str">
        <f t="array" ref="E148">IFERROR(INDEX(Avaluacio[Codi ítem],(MATCH(0,INDEX(COUNTIF(E$1:E147,Avaluacio[Codi ítem]),0,0)+INDEX(Avaluacio[Avaluable]="No",0,0),0))),"")</f>
        <v/>
      </c>
      <c r="F148" s="45" t="str">
        <f t="array" ref="F148">IFERROR(VLOOKUP(E148,Avaluacio[],COLUMN(Avaluacio[Ítem]),FALSE),"")</f>
        <v/>
      </c>
      <c r="G148" t="str">
        <f t="array" ref="G148">IFERROR(VLOOKUP(E148,Avaluacio[],COLUMN(Avaluacio[Família]),FALSE),"")</f>
        <v/>
      </c>
      <c r="H148" t="str">
        <f t="array" ref="H148">IFERROR(VLOOKUP(E148,Avaluacio[],COLUMN(Avaluacio[Subfamília]),FALSE),"")</f>
        <v/>
      </c>
      <c r="I148" s="6" t="str">
        <f t="array" ref="I148">IFERROR(VLOOKUP(E148,Avaluacio[],COLUMN(Avaluacio[Contingut]),FALSE),"")</f>
        <v/>
      </c>
      <c r="J148" s="6" t="str">
        <f t="array" ref="J148">IFERROR(VLOOKUP(E148,Avaluacio[],COLUMN(Avaluacio[Actualització]),FALSE),"")</f>
        <v/>
      </c>
      <c r="K148" s="6" t="str">
        <f t="array" ref="K148">IFERROR(VLOOKUP(E148,Avaluacio[],COLUMN(#REF!),FALSE),"")</f>
        <v/>
      </c>
      <c r="L148" t="str">
        <f t="array" ref="L148">IFERROR(VLOOKUP(E148,Avaluacio[],COLUMN(Avaluacio[Grau de compliment]),FALSE),"")</f>
        <v/>
      </c>
      <c r="M148" s="8" t="str">
        <f t="array" ref="M148">IFERROR(VLOOKUP(E148,Avaluacio[],COLUMN(Avaluacio[% compliment]),FALSE),"")</f>
        <v/>
      </c>
    </row>
  </sheetData>
  <sheetProtection algorithmName="SHA-512" hashValue="tlhV5k4FntM+tEKcpX8lh2JStm9mek6wwe2MevaTkcyYuzcVRlpDvUQfuEtNuPfA3ielxwPN+iVWbGOAXGzdvg==" saltValue="aBKXtmSQuO+HaZuncxojeQ=="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49"/>
  <sheetViews>
    <sheetView zoomScaleNormal="100" workbookViewId="0"/>
  </sheetViews>
  <sheetFormatPr baseColWidth="10" defaultColWidth="28.5" defaultRowHeight="11.25" x14ac:dyDescent="0.2"/>
  <cols>
    <col min="1" max="1" width="7.5" style="4" bestFit="1" customWidth="1"/>
    <col min="2" max="2" width="5.75" style="33" bestFit="1" customWidth="1"/>
    <col min="3" max="4" width="16.5" style="2" customWidth="1"/>
    <col min="5" max="5" width="20.5" style="2" customWidth="1"/>
    <col min="6" max="6" width="7.5" style="30" customWidth="1"/>
    <col min="7" max="8" width="17.375" style="2" customWidth="1"/>
    <col min="9" max="9" width="8.25" style="5" customWidth="1"/>
    <col min="10" max="10" width="28.5" style="3" customWidth="1"/>
    <col min="11" max="11" width="10.375" style="5" customWidth="1"/>
    <col min="12" max="13" width="10.375" style="4" customWidth="1"/>
    <col min="14" max="14" width="10.375" style="3" customWidth="1"/>
    <col min="15" max="15" width="7.75" style="3" bestFit="1" customWidth="1"/>
    <col min="16" max="16" width="32.25" style="3" customWidth="1"/>
    <col min="17" max="17" width="32.25" style="2" customWidth="1"/>
    <col min="18" max="20" width="20.75" style="3" customWidth="1"/>
    <col min="21" max="21" width="32.25" style="2" customWidth="1"/>
    <col min="22" max="22" width="47.25" style="3" customWidth="1"/>
    <col min="23" max="30" width="9.625" style="4" customWidth="1"/>
    <col min="31" max="34" width="28.5" style="25" customWidth="1"/>
    <col min="35" max="16384" width="28.5" style="3"/>
  </cols>
  <sheetData>
    <row r="1" spans="1:34" s="24" customFormat="1" ht="33.75" x14ac:dyDescent="0.2">
      <c r="A1" s="34" t="s">
        <v>649</v>
      </c>
      <c r="B1" s="34" t="s">
        <v>933</v>
      </c>
      <c r="C1" s="35" t="s">
        <v>651</v>
      </c>
      <c r="D1" s="35" t="s">
        <v>652</v>
      </c>
      <c r="E1" s="35" t="s">
        <v>887</v>
      </c>
      <c r="F1" s="28" t="s">
        <v>946</v>
      </c>
      <c r="G1" s="35" t="s">
        <v>949</v>
      </c>
      <c r="H1" s="26" t="s">
        <v>888</v>
      </c>
      <c r="I1" s="34" t="s">
        <v>940</v>
      </c>
      <c r="J1" s="26" t="s">
        <v>560</v>
      </c>
      <c r="K1" s="34" t="s">
        <v>619</v>
      </c>
      <c r="L1" s="34" t="s">
        <v>952</v>
      </c>
      <c r="M1" s="34" t="s">
        <v>951</v>
      </c>
      <c r="N1" s="35" t="s">
        <v>943</v>
      </c>
      <c r="O1" s="34" t="s">
        <v>1223</v>
      </c>
      <c r="P1" s="26" t="s">
        <v>1208</v>
      </c>
      <c r="Q1" s="26" t="s">
        <v>1209</v>
      </c>
      <c r="R1" s="26" t="s">
        <v>1210</v>
      </c>
      <c r="S1" s="26" t="s">
        <v>1211</v>
      </c>
      <c r="T1" s="26" t="s">
        <v>0</v>
      </c>
      <c r="U1" s="26" t="s">
        <v>1</v>
      </c>
      <c r="V1" s="35" t="s">
        <v>950</v>
      </c>
      <c r="W1" s="34" t="s">
        <v>656</v>
      </c>
      <c r="X1" s="34" t="s">
        <v>657</v>
      </c>
      <c r="Y1" s="34" t="s">
        <v>658</v>
      </c>
      <c r="Z1" s="34" t="s">
        <v>659</v>
      </c>
      <c r="AA1" s="34" t="s">
        <v>660</v>
      </c>
      <c r="AB1" s="34" t="s">
        <v>661</v>
      </c>
      <c r="AC1" s="34" t="s">
        <v>662</v>
      </c>
      <c r="AD1" s="34" t="s">
        <v>663</v>
      </c>
      <c r="AE1" s="27" t="s">
        <v>953</v>
      </c>
      <c r="AF1" s="27" t="s">
        <v>954</v>
      </c>
      <c r="AG1" s="27" t="s">
        <v>955</v>
      </c>
      <c r="AH1" s="27" t="s">
        <v>956</v>
      </c>
    </row>
    <row r="2" spans="1:34" ht="45" x14ac:dyDescent="0.2">
      <c r="A2" s="28" t="s">
        <v>957</v>
      </c>
      <c r="B2" s="31" t="s">
        <v>624</v>
      </c>
      <c r="C2" s="26" t="s">
        <v>28</v>
      </c>
      <c r="D2" s="26" t="s">
        <v>29</v>
      </c>
      <c r="E2" s="29" t="s">
        <v>129</v>
      </c>
      <c r="F2" s="28" t="s">
        <v>130</v>
      </c>
      <c r="G2" s="26" t="s">
        <v>24</v>
      </c>
      <c r="H2" s="26" t="s">
        <v>889</v>
      </c>
      <c r="I2" s="32">
        <f>(Metodologia[[#This Row],[Visites]]*0.15)/MAX(Metodologia[Visites])</f>
        <v>7.0557712971515817E-3</v>
      </c>
      <c r="J2" s="26" t="s">
        <v>561</v>
      </c>
      <c r="K2" s="28" t="s">
        <v>620</v>
      </c>
      <c r="L2" s="28" t="s">
        <v>620</v>
      </c>
      <c r="M2" s="28" t="s">
        <v>621</v>
      </c>
      <c r="N2" s="26" t="s">
        <v>644</v>
      </c>
      <c r="O2" s="47">
        <v>19962</v>
      </c>
      <c r="P2" s="26"/>
      <c r="Q2" s="26" t="s">
        <v>54</v>
      </c>
      <c r="R2" s="26" t="s">
        <v>131</v>
      </c>
      <c r="S2" s="26" t="s">
        <v>1121</v>
      </c>
      <c r="T2" s="26" t="s">
        <v>1122</v>
      </c>
      <c r="U2" s="26"/>
      <c r="V2" s="26" t="s">
        <v>132</v>
      </c>
      <c r="W2" s="28" t="s">
        <v>620</v>
      </c>
      <c r="X2" s="28" t="s">
        <v>620</v>
      </c>
      <c r="Y2" s="28" t="s">
        <v>620</v>
      </c>
      <c r="Z2" s="28" t="s">
        <v>620</v>
      </c>
      <c r="AA2" s="28" t="s">
        <v>620</v>
      </c>
      <c r="AB2" s="28" t="s">
        <v>620</v>
      </c>
      <c r="AC2" s="28" t="s">
        <v>620</v>
      </c>
      <c r="AD2" s="28" t="s">
        <v>620</v>
      </c>
      <c r="AE2" s="27" t="s">
        <v>664</v>
      </c>
      <c r="AF2" s="27" t="s">
        <v>665</v>
      </c>
      <c r="AG2" s="27" t="s">
        <v>666</v>
      </c>
      <c r="AH2" s="27" t="s">
        <v>631</v>
      </c>
    </row>
    <row r="3" spans="1:34" ht="45" x14ac:dyDescent="0.2">
      <c r="A3" s="28" t="s">
        <v>958</v>
      </c>
      <c r="B3" s="31" t="s">
        <v>624</v>
      </c>
      <c r="C3" s="26" t="s">
        <v>28</v>
      </c>
      <c r="D3" s="26" t="s">
        <v>29</v>
      </c>
      <c r="E3" s="29" t="s">
        <v>385</v>
      </c>
      <c r="F3" s="28" t="s">
        <v>386</v>
      </c>
      <c r="G3" s="26" t="s">
        <v>24</v>
      </c>
      <c r="H3" s="26" t="s">
        <v>889</v>
      </c>
      <c r="I3" s="32">
        <f>(Metodologia[[#This Row],[Visites]]*0.15)/MAX(Metodologia[Visites])</f>
        <v>1.5185707957094651E-2</v>
      </c>
      <c r="J3" s="26" t="s">
        <v>561</v>
      </c>
      <c r="K3" s="28" t="s">
        <v>620</v>
      </c>
      <c r="L3" s="28" t="s">
        <v>620</v>
      </c>
      <c r="M3" s="28" t="s">
        <v>620</v>
      </c>
      <c r="N3" s="26" t="s">
        <v>644</v>
      </c>
      <c r="O3" s="47">
        <v>42963</v>
      </c>
      <c r="P3" s="26"/>
      <c r="Q3" s="26" t="s">
        <v>54</v>
      </c>
      <c r="R3" s="26" t="s">
        <v>109</v>
      </c>
      <c r="S3" s="26" t="s">
        <v>1121</v>
      </c>
      <c r="T3" s="26" t="s">
        <v>1122</v>
      </c>
      <c r="U3" s="26"/>
      <c r="V3" s="26" t="s">
        <v>387</v>
      </c>
      <c r="W3" s="28" t="s">
        <v>620</v>
      </c>
      <c r="X3" s="28" t="s">
        <v>620</v>
      </c>
      <c r="Y3" s="28" t="s">
        <v>620</v>
      </c>
      <c r="Z3" s="28" t="s">
        <v>620</v>
      </c>
      <c r="AA3" s="28" t="s">
        <v>620</v>
      </c>
      <c r="AB3" s="28" t="s">
        <v>620</v>
      </c>
      <c r="AC3" s="28" t="s">
        <v>620</v>
      </c>
      <c r="AD3" s="28" t="s">
        <v>620</v>
      </c>
      <c r="AE3" s="27" t="s">
        <v>667</v>
      </c>
      <c r="AF3" s="27" t="s">
        <v>668</v>
      </c>
      <c r="AG3" s="27" t="s">
        <v>669</v>
      </c>
      <c r="AH3" s="27" t="s">
        <v>631</v>
      </c>
    </row>
    <row r="4" spans="1:34" ht="45" x14ac:dyDescent="0.2">
      <c r="A4" s="28" t="s">
        <v>959</v>
      </c>
      <c r="B4" s="31" t="s">
        <v>622</v>
      </c>
      <c r="C4" s="26" t="s">
        <v>28</v>
      </c>
      <c r="D4" s="26" t="s">
        <v>29</v>
      </c>
      <c r="E4" s="29" t="s">
        <v>392</v>
      </c>
      <c r="F4" s="28" t="s">
        <v>389</v>
      </c>
      <c r="G4" s="26" t="s">
        <v>20</v>
      </c>
      <c r="H4" s="26" t="s">
        <v>947</v>
      </c>
      <c r="I4" s="32">
        <f>(Metodologia[[#This Row],[Visites]]*0.15)/MAX(Metodologia[Visites])</f>
        <v>1.5700699379795275E-3</v>
      </c>
      <c r="J4" s="26" t="s">
        <v>562</v>
      </c>
      <c r="K4" s="28" t="s">
        <v>620</v>
      </c>
      <c r="L4" s="28" t="s">
        <v>621</v>
      </c>
      <c r="M4" s="28" t="s">
        <v>620</v>
      </c>
      <c r="N4" s="26" t="s">
        <v>644</v>
      </c>
      <c r="O4" s="47">
        <v>4442</v>
      </c>
      <c r="P4" s="26" t="s">
        <v>1123</v>
      </c>
      <c r="Q4" s="26" t="s">
        <v>54</v>
      </c>
      <c r="R4" s="26" t="s">
        <v>109</v>
      </c>
      <c r="S4" s="26" t="s">
        <v>1121</v>
      </c>
      <c r="T4" s="26" t="s">
        <v>1124</v>
      </c>
      <c r="U4" s="26"/>
      <c r="V4" s="26" t="s">
        <v>391</v>
      </c>
      <c r="W4" s="28" t="s">
        <v>620</v>
      </c>
      <c r="X4" s="28" t="s">
        <v>620</v>
      </c>
      <c r="Y4" s="28" t="s">
        <v>620</v>
      </c>
      <c r="Z4" s="28" t="s">
        <v>621</v>
      </c>
      <c r="AA4" s="28" t="s">
        <v>621</v>
      </c>
      <c r="AB4" s="28" t="s">
        <v>621</v>
      </c>
      <c r="AC4" s="28" t="s">
        <v>621</v>
      </c>
      <c r="AD4" s="28" t="s">
        <v>621</v>
      </c>
      <c r="AE4" s="27" t="s">
        <v>670</v>
      </c>
      <c r="AF4" s="27" t="s">
        <v>671</v>
      </c>
      <c r="AG4" s="27" t="s">
        <v>672</v>
      </c>
      <c r="AH4" s="27" t="s">
        <v>633</v>
      </c>
    </row>
    <row r="5" spans="1:34" ht="45" x14ac:dyDescent="0.2">
      <c r="A5" s="28" t="s">
        <v>960</v>
      </c>
      <c r="B5" s="31" t="s">
        <v>622</v>
      </c>
      <c r="C5" s="26" t="s">
        <v>28</v>
      </c>
      <c r="D5" s="26" t="s">
        <v>29</v>
      </c>
      <c r="E5" s="29" t="s">
        <v>388</v>
      </c>
      <c r="F5" s="28" t="s">
        <v>389</v>
      </c>
      <c r="G5" s="26" t="s">
        <v>20</v>
      </c>
      <c r="H5" s="26" t="s">
        <v>890</v>
      </c>
      <c r="I5" s="32">
        <f>(Metodologia[[#This Row],[Visites]]*0.15)/MAX(Metodologia[Visites])</f>
        <v>1.0345778272098328E-3</v>
      </c>
      <c r="J5" s="26"/>
      <c r="K5" s="28" t="s">
        <v>620</v>
      </c>
      <c r="L5" s="28" t="s">
        <v>620</v>
      </c>
      <c r="M5" s="28" t="s">
        <v>620</v>
      </c>
      <c r="N5" s="26" t="s">
        <v>644</v>
      </c>
      <c r="O5" s="47">
        <v>2927</v>
      </c>
      <c r="P5" s="26" t="s">
        <v>1123</v>
      </c>
      <c r="Q5" s="26" t="s">
        <v>54</v>
      </c>
      <c r="R5" s="26" t="s">
        <v>390</v>
      </c>
      <c r="S5" s="26" t="s">
        <v>1121</v>
      </c>
      <c r="T5" s="26" t="s">
        <v>1124</v>
      </c>
      <c r="U5" s="26"/>
      <c r="V5" s="26" t="s">
        <v>391</v>
      </c>
      <c r="W5" s="28" t="s">
        <v>620</v>
      </c>
      <c r="X5" s="28" t="s">
        <v>620</v>
      </c>
      <c r="Y5" s="28" t="s">
        <v>620</v>
      </c>
      <c r="Z5" s="28" t="s">
        <v>620</v>
      </c>
      <c r="AA5" s="28" t="s">
        <v>620</v>
      </c>
      <c r="AB5" s="28" t="s">
        <v>620</v>
      </c>
      <c r="AC5" s="28" t="s">
        <v>620</v>
      </c>
      <c r="AD5" s="28" t="s">
        <v>620</v>
      </c>
      <c r="AE5" s="27" t="s">
        <v>670</v>
      </c>
      <c r="AF5" s="27" t="s">
        <v>671</v>
      </c>
      <c r="AG5" s="27" t="s">
        <v>672</v>
      </c>
      <c r="AH5" s="27" t="s">
        <v>633</v>
      </c>
    </row>
    <row r="6" spans="1:34" ht="45" x14ac:dyDescent="0.2">
      <c r="A6" s="28" t="s">
        <v>961</v>
      </c>
      <c r="B6" s="31" t="s">
        <v>622</v>
      </c>
      <c r="C6" s="26" t="s">
        <v>28</v>
      </c>
      <c r="D6" s="26" t="s">
        <v>29</v>
      </c>
      <c r="E6" s="29" t="s">
        <v>393</v>
      </c>
      <c r="F6" s="28" t="s">
        <v>389</v>
      </c>
      <c r="G6" s="26" t="s">
        <v>20</v>
      </c>
      <c r="H6" s="26" t="s">
        <v>891</v>
      </c>
      <c r="I6" s="32">
        <f>(Metodologia[[#This Row],[Visites]]*0.15)/MAX(Metodologia[Visites])</f>
        <v>1.0939591305823139E-3</v>
      </c>
      <c r="J6" s="26" t="s">
        <v>561</v>
      </c>
      <c r="K6" s="28" t="s">
        <v>620</v>
      </c>
      <c r="L6" s="28" t="s">
        <v>621</v>
      </c>
      <c r="M6" s="28" t="s">
        <v>621</v>
      </c>
      <c r="N6" s="26" t="s">
        <v>644</v>
      </c>
      <c r="O6" s="47">
        <v>3095</v>
      </c>
      <c r="P6" s="26" t="s">
        <v>1123</v>
      </c>
      <c r="Q6" s="26" t="s">
        <v>54</v>
      </c>
      <c r="R6" s="26" t="s">
        <v>394</v>
      </c>
      <c r="S6" s="26" t="s">
        <v>1121</v>
      </c>
      <c r="T6" s="26" t="s">
        <v>1124</v>
      </c>
      <c r="U6" s="26"/>
      <c r="V6" s="26" t="s">
        <v>391</v>
      </c>
      <c r="W6" s="28" t="s">
        <v>621</v>
      </c>
      <c r="X6" s="28" t="s">
        <v>621</v>
      </c>
      <c r="Y6" s="28" t="s">
        <v>621</v>
      </c>
      <c r="Z6" s="28" t="s">
        <v>620</v>
      </c>
      <c r="AA6" s="28" t="s">
        <v>620</v>
      </c>
      <c r="AB6" s="28" t="s">
        <v>620</v>
      </c>
      <c r="AC6" s="28" t="s">
        <v>620</v>
      </c>
      <c r="AD6" s="28" t="s">
        <v>620</v>
      </c>
      <c r="AE6" s="27" t="s">
        <v>670</v>
      </c>
      <c r="AF6" s="27" t="s">
        <v>671</v>
      </c>
      <c r="AG6" s="27" t="s">
        <v>672</v>
      </c>
      <c r="AH6" s="27" t="s">
        <v>633</v>
      </c>
    </row>
    <row r="7" spans="1:34" ht="33.75" x14ac:dyDescent="0.2">
      <c r="A7" s="28" t="s">
        <v>963</v>
      </c>
      <c r="B7" s="31" t="s">
        <v>625</v>
      </c>
      <c r="C7" s="26" t="s">
        <v>28</v>
      </c>
      <c r="D7" s="26" t="s">
        <v>29</v>
      </c>
      <c r="E7" s="29" t="s">
        <v>40</v>
      </c>
      <c r="F7" s="28" t="s">
        <v>41</v>
      </c>
      <c r="G7" s="26" t="s">
        <v>6</v>
      </c>
      <c r="H7" s="26" t="s">
        <v>889</v>
      </c>
      <c r="I7" s="32">
        <f>(Metodologia[[#This Row],[Visites]]*0.15)/MAX(Metodologia[Visites])</f>
        <v>2.6841762964917902E-3</v>
      </c>
      <c r="J7" s="26"/>
      <c r="K7" s="28" t="s">
        <v>620</v>
      </c>
      <c r="L7" s="28" t="s">
        <v>620</v>
      </c>
      <c r="M7" s="28" t="s">
        <v>621</v>
      </c>
      <c r="N7" s="26" t="s">
        <v>634</v>
      </c>
      <c r="O7" s="47">
        <v>7594</v>
      </c>
      <c r="P7" s="26"/>
      <c r="Q7" s="26" t="s">
        <v>42</v>
      </c>
      <c r="R7" s="26" t="s">
        <v>43</v>
      </c>
      <c r="S7" s="26"/>
      <c r="T7" s="26" t="s">
        <v>44</v>
      </c>
      <c r="U7" s="26"/>
      <c r="V7" s="26" t="s">
        <v>1230</v>
      </c>
      <c r="W7" s="28" t="s">
        <v>620</v>
      </c>
      <c r="X7" s="28" t="s">
        <v>620</v>
      </c>
      <c r="Y7" s="28" t="s">
        <v>620</v>
      </c>
      <c r="Z7" s="28" t="s">
        <v>620</v>
      </c>
      <c r="AA7" s="28" t="s">
        <v>620</v>
      </c>
      <c r="AB7" s="28" t="s">
        <v>620</v>
      </c>
      <c r="AC7" s="28" t="s">
        <v>620</v>
      </c>
      <c r="AD7" s="28" t="s">
        <v>620</v>
      </c>
      <c r="AE7" s="27" t="s">
        <v>676</v>
      </c>
      <c r="AF7" s="27" t="s">
        <v>677</v>
      </c>
      <c r="AG7" s="27" t="s">
        <v>678</v>
      </c>
      <c r="AH7" s="27" t="s">
        <v>631</v>
      </c>
    </row>
    <row r="8" spans="1:34" ht="22.5" x14ac:dyDescent="0.2">
      <c r="A8" s="28" t="s">
        <v>964</v>
      </c>
      <c r="B8" s="31" t="s">
        <v>625</v>
      </c>
      <c r="C8" s="26" t="s">
        <v>28</v>
      </c>
      <c r="D8" s="26" t="s">
        <v>29</v>
      </c>
      <c r="E8" s="29" t="s">
        <v>490</v>
      </c>
      <c r="F8" s="28" t="s">
        <v>41</v>
      </c>
      <c r="G8" s="26" t="s">
        <v>6</v>
      </c>
      <c r="H8" s="26" t="s">
        <v>889</v>
      </c>
      <c r="I8" s="32">
        <f>(Metodologia[[#This Row],[Visites]]*0.15)/MAX(Metodologia[Visites])</f>
        <v>2.1094501102795634E-3</v>
      </c>
      <c r="J8" s="26"/>
      <c r="K8" s="28" t="s">
        <v>620</v>
      </c>
      <c r="L8" s="28" t="s">
        <v>620</v>
      </c>
      <c r="M8" s="28" t="s">
        <v>621</v>
      </c>
      <c r="N8" s="26" t="s">
        <v>634</v>
      </c>
      <c r="O8" s="47">
        <v>5968</v>
      </c>
      <c r="P8" s="26"/>
      <c r="Q8" s="26" t="s">
        <v>42</v>
      </c>
      <c r="R8" s="26" t="s">
        <v>1128</v>
      </c>
      <c r="S8" s="26"/>
      <c r="T8" s="26" t="s">
        <v>44</v>
      </c>
      <c r="U8" s="26"/>
      <c r="V8" s="26" t="s">
        <v>1129</v>
      </c>
      <c r="W8" s="28" t="s">
        <v>620</v>
      </c>
      <c r="X8" s="28" t="s">
        <v>620</v>
      </c>
      <c r="Y8" s="28" t="s">
        <v>620</v>
      </c>
      <c r="Z8" s="28" t="s">
        <v>620</v>
      </c>
      <c r="AA8" s="28" t="s">
        <v>620</v>
      </c>
      <c r="AB8" s="28" t="s">
        <v>620</v>
      </c>
      <c r="AC8" s="28" t="s">
        <v>620</v>
      </c>
      <c r="AD8" s="28" t="s">
        <v>620</v>
      </c>
      <c r="AE8" s="27" t="s">
        <v>679</v>
      </c>
      <c r="AF8" s="27" t="s">
        <v>680</v>
      </c>
      <c r="AG8" s="27" t="s">
        <v>681</v>
      </c>
      <c r="AH8" s="27" t="s">
        <v>631</v>
      </c>
    </row>
    <row r="9" spans="1:34" ht="22.5" x14ac:dyDescent="0.2">
      <c r="A9" s="28" t="s">
        <v>965</v>
      </c>
      <c r="B9" s="31" t="s">
        <v>625</v>
      </c>
      <c r="C9" s="26" t="s">
        <v>28</v>
      </c>
      <c r="D9" s="26" t="s">
        <v>29</v>
      </c>
      <c r="E9" s="29" t="s">
        <v>489</v>
      </c>
      <c r="F9" s="28" t="s">
        <v>41</v>
      </c>
      <c r="G9" s="26" t="s">
        <v>6</v>
      </c>
      <c r="H9" s="26" t="s">
        <v>889</v>
      </c>
      <c r="I9" s="32">
        <f>(Metodologia[[#This Row],[Visites]]*0.15)/MAX(Metodologia[Visites])</f>
        <v>3.170537447923539E-4</v>
      </c>
      <c r="J9" s="26"/>
      <c r="K9" s="28" t="s">
        <v>620</v>
      </c>
      <c r="L9" s="28" t="s">
        <v>621</v>
      </c>
      <c r="M9" s="28" t="s">
        <v>621</v>
      </c>
      <c r="N9" s="26" t="s">
        <v>634</v>
      </c>
      <c r="O9" s="47">
        <v>897</v>
      </c>
      <c r="P9" s="26"/>
      <c r="Q9" s="26" t="s">
        <v>42</v>
      </c>
      <c r="R9" s="26" t="s">
        <v>1128</v>
      </c>
      <c r="S9" s="26"/>
      <c r="T9" s="26" t="s">
        <v>44</v>
      </c>
      <c r="U9" s="26"/>
      <c r="V9" s="26" t="s">
        <v>1129</v>
      </c>
      <c r="W9" s="28" t="s">
        <v>620</v>
      </c>
      <c r="X9" s="28" t="s">
        <v>620</v>
      </c>
      <c r="Y9" s="28" t="s">
        <v>620</v>
      </c>
      <c r="Z9" s="28" t="s">
        <v>620</v>
      </c>
      <c r="AA9" s="28" t="s">
        <v>620</v>
      </c>
      <c r="AB9" s="28" t="s">
        <v>620</v>
      </c>
      <c r="AC9" s="28" t="s">
        <v>620</v>
      </c>
      <c r="AD9" s="28" t="s">
        <v>620</v>
      </c>
      <c r="AE9" s="27" t="s">
        <v>682</v>
      </c>
      <c r="AF9" s="27" t="s">
        <v>683</v>
      </c>
      <c r="AG9" s="27" t="s">
        <v>684</v>
      </c>
      <c r="AH9" s="27" t="s">
        <v>631</v>
      </c>
    </row>
    <row r="10" spans="1:34" ht="33.75" x14ac:dyDescent="0.2">
      <c r="A10" s="28" t="s">
        <v>966</v>
      </c>
      <c r="B10" s="31" t="s">
        <v>626</v>
      </c>
      <c r="C10" s="26" t="s">
        <v>28</v>
      </c>
      <c r="D10" s="26" t="s">
        <v>29</v>
      </c>
      <c r="E10" s="29" t="s">
        <v>30</v>
      </c>
      <c r="F10" s="28" t="s">
        <v>31</v>
      </c>
      <c r="G10" s="26" t="s">
        <v>24</v>
      </c>
      <c r="H10" s="26"/>
      <c r="I10" s="32">
        <f>(Metodologia[[#This Row],[Visites]]*0.15)/MAX(Metodologia[Visites])</f>
        <v>6.9069645785812582E-3</v>
      </c>
      <c r="J10" s="26"/>
      <c r="K10" s="28" t="s">
        <v>621</v>
      </c>
      <c r="L10" s="28" t="s">
        <v>621</v>
      </c>
      <c r="M10" s="28" t="s">
        <v>621</v>
      </c>
      <c r="N10" s="26" t="s">
        <v>632</v>
      </c>
      <c r="O10" s="47">
        <v>19541</v>
      </c>
      <c r="P10" s="26"/>
      <c r="Q10" s="26" t="s">
        <v>32</v>
      </c>
      <c r="R10" s="26"/>
      <c r="S10" s="26"/>
      <c r="T10" s="26"/>
      <c r="U10" s="26" t="s">
        <v>33</v>
      </c>
      <c r="V10" s="26" t="s">
        <v>34</v>
      </c>
      <c r="W10" s="28" t="s">
        <v>620</v>
      </c>
      <c r="X10" s="28" t="s">
        <v>1227</v>
      </c>
      <c r="Y10" s="28" t="s">
        <v>1227</v>
      </c>
      <c r="Z10" s="28" t="s">
        <v>1227</v>
      </c>
      <c r="AA10" s="28" t="s">
        <v>1227</v>
      </c>
      <c r="AB10" s="28" t="s">
        <v>1227</v>
      </c>
      <c r="AC10" s="28" t="s">
        <v>620</v>
      </c>
      <c r="AD10" s="28" t="s">
        <v>620</v>
      </c>
      <c r="AE10" s="27" t="s">
        <v>685</v>
      </c>
      <c r="AF10" s="27" t="s">
        <v>686</v>
      </c>
      <c r="AG10" s="27" t="s">
        <v>687</v>
      </c>
      <c r="AH10" s="27" t="s">
        <v>646</v>
      </c>
    </row>
    <row r="11" spans="1:34" ht="22.5" x14ac:dyDescent="0.2">
      <c r="A11" s="28" t="s">
        <v>967</v>
      </c>
      <c r="B11" s="31" t="s">
        <v>622</v>
      </c>
      <c r="C11" s="26" t="s">
        <v>28</v>
      </c>
      <c r="D11" s="26" t="s">
        <v>29</v>
      </c>
      <c r="E11" s="29" t="s">
        <v>196</v>
      </c>
      <c r="F11" s="28" t="s">
        <v>197</v>
      </c>
      <c r="G11" s="26" t="s">
        <v>20</v>
      </c>
      <c r="H11" s="26" t="s">
        <v>889</v>
      </c>
      <c r="I11" s="32">
        <f>(Metodologia[[#This Row],[Visites]]*0.15)/MAX(Metodologia[Visites])</f>
        <v>6.7740635662714198E-3</v>
      </c>
      <c r="J11" s="26"/>
      <c r="K11" s="28" t="s">
        <v>620</v>
      </c>
      <c r="L11" s="28" t="s">
        <v>621</v>
      </c>
      <c r="M11" s="28" t="s">
        <v>621</v>
      </c>
      <c r="N11" s="26" t="s">
        <v>632</v>
      </c>
      <c r="O11" s="47">
        <v>19165</v>
      </c>
      <c r="P11" s="26" t="s">
        <v>1123</v>
      </c>
      <c r="Q11" s="26" t="s">
        <v>54</v>
      </c>
      <c r="R11" s="26" t="s">
        <v>198</v>
      </c>
      <c r="S11" s="26"/>
      <c r="T11" s="26"/>
      <c r="U11" s="26"/>
      <c r="V11" s="26" t="s">
        <v>199</v>
      </c>
      <c r="W11" s="28" t="s">
        <v>620</v>
      </c>
      <c r="X11" s="28" t="s">
        <v>620</v>
      </c>
      <c r="Y11" s="28" t="s">
        <v>620</v>
      </c>
      <c r="Z11" s="28" t="s">
        <v>620</v>
      </c>
      <c r="AA11" s="28" t="s">
        <v>620</v>
      </c>
      <c r="AB11" s="28" t="s">
        <v>620</v>
      </c>
      <c r="AC11" s="28" t="s">
        <v>620</v>
      </c>
      <c r="AD11" s="28" t="s">
        <v>620</v>
      </c>
      <c r="AE11" s="27" t="s">
        <v>688</v>
      </c>
      <c r="AF11" s="27" t="s">
        <v>689</v>
      </c>
      <c r="AG11" s="27" t="s">
        <v>672</v>
      </c>
      <c r="AH11" s="27" t="s">
        <v>631</v>
      </c>
    </row>
    <row r="12" spans="1:34" ht="33.75" x14ac:dyDescent="0.2">
      <c r="A12" s="28" t="s">
        <v>968</v>
      </c>
      <c r="B12" s="31" t="s">
        <v>626</v>
      </c>
      <c r="C12" s="26" t="s">
        <v>28</v>
      </c>
      <c r="D12" s="26" t="s">
        <v>29</v>
      </c>
      <c r="E12" s="29" t="s">
        <v>299</v>
      </c>
      <c r="F12" s="28" t="s">
        <v>300</v>
      </c>
      <c r="G12" s="26" t="s">
        <v>24</v>
      </c>
      <c r="H12" s="26"/>
      <c r="I12" s="32">
        <f>(Metodologia[[#This Row],[Visites]]*0.15)/MAX(Metodologia[Visites])</f>
        <v>2.118993534035855E-3</v>
      </c>
      <c r="J12" s="26"/>
      <c r="K12" s="28" t="s">
        <v>621</v>
      </c>
      <c r="L12" s="28" t="s">
        <v>620</v>
      </c>
      <c r="M12" s="28" t="s">
        <v>621</v>
      </c>
      <c r="N12" s="26" t="s">
        <v>632</v>
      </c>
      <c r="O12" s="47">
        <v>5995</v>
      </c>
      <c r="P12" s="26"/>
      <c r="Q12" s="26" t="s">
        <v>54</v>
      </c>
      <c r="R12" s="26"/>
      <c r="S12" s="26"/>
      <c r="T12" s="26"/>
      <c r="U12" s="26" t="s">
        <v>33</v>
      </c>
      <c r="V12" s="26" t="s">
        <v>301</v>
      </c>
      <c r="W12" s="28" t="s">
        <v>620</v>
      </c>
      <c r="X12" s="28" t="s">
        <v>1227</v>
      </c>
      <c r="Y12" s="28" t="s">
        <v>1227</v>
      </c>
      <c r="Z12" s="28" t="s">
        <v>621</v>
      </c>
      <c r="AA12" s="28" t="s">
        <v>621</v>
      </c>
      <c r="AB12" s="28" t="s">
        <v>621</v>
      </c>
      <c r="AC12" s="28" t="s">
        <v>621</v>
      </c>
      <c r="AD12" s="28" t="s">
        <v>621</v>
      </c>
      <c r="AE12" s="27" t="s">
        <v>690</v>
      </c>
      <c r="AF12" s="27" t="s">
        <v>691</v>
      </c>
      <c r="AG12" s="27" t="s">
        <v>687</v>
      </c>
      <c r="AH12" s="27" t="s">
        <v>646</v>
      </c>
    </row>
    <row r="13" spans="1:34" ht="22.5" x14ac:dyDescent="0.2">
      <c r="A13" s="28" t="s">
        <v>969</v>
      </c>
      <c r="B13" s="31" t="s">
        <v>622</v>
      </c>
      <c r="C13" s="26" t="s">
        <v>28</v>
      </c>
      <c r="D13" s="26" t="s">
        <v>29</v>
      </c>
      <c r="E13" s="29" t="s">
        <v>291</v>
      </c>
      <c r="F13" s="28" t="s">
        <v>292</v>
      </c>
      <c r="G13" s="26" t="s">
        <v>20</v>
      </c>
      <c r="H13" s="26" t="s">
        <v>889</v>
      </c>
      <c r="I13" s="32">
        <f>(Metodologia[[#This Row],[Visites]]*0.15)/MAX(Metodologia[Visites])</f>
        <v>3.3228787678850828E-3</v>
      </c>
      <c r="J13" s="26"/>
      <c r="K13" s="28" t="s">
        <v>620</v>
      </c>
      <c r="L13" s="28" t="s">
        <v>620</v>
      </c>
      <c r="M13" s="28" t="s">
        <v>620</v>
      </c>
      <c r="N13" s="26" t="s">
        <v>632</v>
      </c>
      <c r="O13" s="47">
        <v>9401</v>
      </c>
      <c r="P13" s="26" t="s">
        <v>1123</v>
      </c>
      <c r="Q13" s="26" t="s">
        <v>54</v>
      </c>
      <c r="R13" s="26" t="s">
        <v>293</v>
      </c>
      <c r="S13" s="26"/>
      <c r="T13" s="26"/>
      <c r="U13" s="26"/>
      <c r="V13" s="26" t="s">
        <v>294</v>
      </c>
      <c r="W13" s="28" t="s">
        <v>620</v>
      </c>
      <c r="X13" s="28" t="s">
        <v>621</v>
      </c>
      <c r="Y13" s="28" t="s">
        <v>621</v>
      </c>
      <c r="Z13" s="28" t="s">
        <v>621</v>
      </c>
      <c r="AA13" s="28" t="s">
        <v>621</v>
      </c>
      <c r="AB13" s="28" t="s">
        <v>621</v>
      </c>
      <c r="AC13" s="28" t="s">
        <v>621</v>
      </c>
      <c r="AD13" s="28" t="s">
        <v>621</v>
      </c>
      <c r="AE13" s="27" t="s">
        <v>688</v>
      </c>
      <c r="AF13" s="27" t="s">
        <v>689</v>
      </c>
      <c r="AG13" s="27" t="s">
        <v>672</v>
      </c>
      <c r="AH13" s="27" t="s">
        <v>631</v>
      </c>
    </row>
    <row r="14" spans="1:34" ht="22.5" x14ac:dyDescent="0.2">
      <c r="A14" s="28" t="s">
        <v>970</v>
      </c>
      <c r="B14" s="31" t="s">
        <v>622</v>
      </c>
      <c r="C14" s="26" t="s">
        <v>28</v>
      </c>
      <c r="D14" s="26" t="s">
        <v>29</v>
      </c>
      <c r="E14" s="29" t="s">
        <v>192</v>
      </c>
      <c r="F14" s="28" t="s">
        <v>193</v>
      </c>
      <c r="G14" s="26" t="s">
        <v>96</v>
      </c>
      <c r="H14" s="26" t="s">
        <v>889</v>
      </c>
      <c r="I14" s="32">
        <f>(Metodologia[[#This Row],[Visites]]*0.15)/MAX(Metodologia[Visites])</f>
        <v>1.6425292664995193E-3</v>
      </c>
      <c r="J14" s="26"/>
      <c r="K14" s="28" t="s">
        <v>620</v>
      </c>
      <c r="L14" s="28" t="s">
        <v>621</v>
      </c>
      <c r="M14" s="28" t="s">
        <v>620</v>
      </c>
      <c r="N14" s="26" t="s">
        <v>632</v>
      </c>
      <c r="O14" s="47">
        <v>4647</v>
      </c>
      <c r="P14" s="26" t="s">
        <v>1130</v>
      </c>
      <c r="Q14" s="26" t="s">
        <v>7</v>
      </c>
      <c r="R14" s="26" t="s">
        <v>194</v>
      </c>
      <c r="S14" s="26" t="s">
        <v>1131</v>
      </c>
      <c r="T14" s="26"/>
      <c r="U14" s="26"/>
      <c r="V14" s="26" t="s">
        <v>195</v>
      </c>
      <c r="W14" s="28" t="s">
        <v>620</v>
      </c>
      <c r="X14" s="28" t="s">
        <v>620</v>
      </c>
      <c r="Y14" s="28" t="s">
        <v>620</v>
      </c>
      <c r="Z14" s="28" t="s">
        <v>620</v>
      </c>
      <c r="AA14" s="28" t="s">
        <v>620</v>
      </c>
      <c r="AB14" s="28" t="s">
        <v>620</v>
      </c>
      <c r="AC14" s="28" t="s">
        <v>620</v>
      </c>
      <c r="AD14" s="28" t="s">
        <v>620</v>
      </c>
      <c r="AE14" s="27" t="s">
        <v>688</v>
      </c>
      <c r="AF14" s="27" t="s">
        <v>689</v>
      </c>
      <c r="AG14" s="27" t="s">
        <v>672</v>
      </c>
      <c r="AH14" s="27" t="s">
        <v>631</v>
      </c>
    </row>
    <row r="15" spans="1:34" ht="33.75" x14ac:dyDescent="0.2">
      <c r="A15" s="28" t="s">
        <v>971</v>
      </c>
      <c r="B15" s="31" t="s">
        <v>626</v>
      </c>
      <c r="C15" s="26" t="s">
        <v>28</v>
      </c>
      <c r="D15" s="26" t="s">
        <v>29</v>
      </c>
      <c r="E15" s="29" t="s">
        <v>450</v>
      </c>
      <c r="F15" s="28" t="s">
        <v>451</v>
      </c>
      <c r="G15" s="26" t="s">
        <v>20</v>
      </c>
      <c r="H15" s="26" t="s">
        <v>892</v>
      </c>
      <c r="I15" s="32">
        <f>(Metodologia[[#This Row],[Visites]]*0.15)/MAX(Metodologia[Visites])</f>
        <v>8.4724395347522013E-4</v>
      </c>
      <c r="J15" s="26" t="s">
        <v>564</v>
      </c>
      <c r="K15" s="28" t="s">
        <v>621</v>
      </c>
      <c r="L15" s="28" t="s">
        <v>620</v>
      </c>
      <c r="M15" s="28" t="s">
        <v>621</v>
      </c>
      <c r="N15" s="26" t="s">
        <v>632</v>
      </c>
      <c r="O15" s="47">
        <v>2397</v>
      </c>
      <c r="P15" s="26" t="s">
        <v>1132</v>
      </c>
      <c r="Q15" s="26" t="s">
        <v>54</v>
      </c>
      <c r="R15" s="26"/>
      <c r="S15" s="26"/>
      <c r="T15" s="26"/>
      <c r="U15" s="26" t="s">
        <v>452</v>
      </c>
      <c r="V15" s="26" t="s">
        <v>453</v>
      </c>
      <c r="W15" s="28" t="s">
        <v>620</v>
      </c>
      <c r="X15" s="28" t="s">
        <v>621</v>
      </c>
      <c r="Y15" s="28" t="s">
        <v>621</v>
      </c>
      <c r="Z15" s="28" t="s">
        <v>621</v>
      </c>
      <c r="AA15" s="28" t="s">
        <v>621</v>
      </c>
      <c r="AB15" s="28" t="s">
        <v>621</v>
      </c>
      <c r="AC15" s="28" t="s">
        <v>621</v>
      </c>
      <c r="AD15" s="28" t="s">
        <v>620</v>
      </c>
      <c r="AE15" s="27" t="s">
        <v>670</v>
      </c>
      <c r="AF15" s="27" t="s">
        <v>692</v>
      </c>
      <c r="AG15" s="27" t="s">
        <v>672</v>
      </c>
      <c r="AH15" s="27" t="s">
        <v>631</v>
      </c>
    </row>
    <row r="16" spans="1:34" ht="56.25" x14ac:dyDescent="0.2">
      <c r="A16" s="28" t="s">
        <v>972</v>
      </c>
      <c r="B16" s="31" t="s">
        <v>624</v>
      </c>
      <c r="C16" s="26" t="s">
        <v>28</v>
      </c>
      <c r="D16" s="26" t="s">
        <v>29</v>
      </c>
      <c r="E16" s="29" t="s">
        <v>302</v>
      </c>
      <c r="F16" s="28" t="s">
        <v>303</v>
      </c>
      <c r="G16" s="26" t="s">
        <v>24</v>
      </c>
      <c r="H16" s="26" t="s">
        <v>893</v>
      </c>
      <c r="I16" s="32">
        <f>(Metodologia[[#This Row],[Visites]]*0.15)/MAX(Metodologia[Visites])</f>
        <v>3.1033800214903763E-4</v>
      </c>
      <c r="J16" s="26"/>
      <c r="K16" s="28" t="s">
        <v>620</v>
      </c>
      <c r="L16" s="28" t="s">
        <v>621</v>
      </c>
      <c r="M16" s="28" t="s">
        <v>621</v>
      </c>
      <c r="N16" s="26" t="s">
        <v>632</v>
      </c>
      <c r="O16" s="47">
        <v>878</v>
      </c>
      <c r="P16" s="26"/>
      <c r="Q16" s="26" t="s">
        <v>54</v>
      </c>
      <c r="R16" s="26" t="s">
        <v>1133</v>
      </c>
      <c r="S16" s="26"/>
      <c r="T16" s="26" t="s">
        <v>304</v>
      </c>
      <c r="U16" s="26"/>
      <c r="V16" s="26" t="s">
        <v>305</v>
      </c>
      <c r="W16" s="28" t="s">
        <v>620</v>
      </c>
      <c r="X16" s="28" t="s">
        <v>621</v>
      </c>
      <c r="Y16" s="28" t="s">
        <v>621</v>
      </c>
      <c r="Z16" s="28" t="s">
        <v>621</v>
      </c>
      <c r="AA16" s="28" t="s">
        <v>621</v>
      </c>
      <c r="AB16" s="28" t="s">
        <v>621</v>
      </c>
      <c r="AC16" s="28" t="s">
        <v>621</v>
      </c>
      <c r="AD16" s="28" t="s">
        <v>621</v>
      </c>
      <c r="AE16" s="27" t="s">
        <v>693</v>
      </c>
      <c r="AF16" s="27" t="s">
        <v>694</v>
      </c>
      <c r="AG16" s="27" t="s">
        <v>669</v>
      </c>
      <c r="AH16" s="27" t="s">
        <v>633</v>
      </c>
    </row>
    <row r="17" spans="1:34" ht="33.75" x14ac:dyDescent="0.2">
      <c r="A17" s="28" t="s">
        <v>973</v>
      </c>
      <c r="B17" s="31" t="s">
        <v>622</v>
      </c>
      <c r="C17" s="26" t="s">
        <v>28</v>
      </c>
      <c r="D17" s="26" t="s">
        <v>58</v>
      </c>
      <c r="E17" s="29" t="s">
        <v>107</v>
      </c>
      <c r="F17" s="28" t="s">
        <v>108</v>
      </c>
      <c r="G17" s="26" t="s">
        <v>1106</v>
      </c>
      <c r="H17" s="26" t="s">
        <v>889</v>
      </c>
      <c r="I17" s="32">
        <f>(Metodologia[[#This Row],[Visites]]*0.15)/MAX(Metodologia[Visites])</f>
        <v>3.6570399834109368E-2</v>
      </c>
      <c r="J17" s="26" t="s">
        <v>561</v>
      </c>
      <c r="K17" s="28" t="s">
        <v>620</v>
      </c>
      <c r="L17" s="28" t="s">
        <v>620</v>
      </c>
      <c r="M17" s="28" t="s">
        <v>620</v>
      </c>
      <c r="N17" s="26" t="s">
        <v>632</v>
      </c>
      <c r="O17" s="47">
        <v>103464</v>
      </c>
      <c r="P17" s="26" t="s">
        <v>1134</v>
      </c>
      <c r="Q17" s="26" t="s">
        <v>54</v>
      </c>
      <c r="R17" s="26" t="s">
        <v>109</v>
      </c>
      <c r="S17" s="26" t="s">
        <v>1121</v>
      </c>
      <c r="T17" s="26"/>
      <c r="U17" s="26"/>
      <c r="V17" s="26" t="s">
        <v>110</v>
      </c>
      <c r="W17" s="28" t="s">
        <v>620</v>
      </c>
      <c r="X17" s="28" t="s">
        <v>621</v>
      </c>
      <c r="Y17" s="28" t="s">
        <v>621</v>
      </c>
      <c r="Z17" s="28" t="s">
        <v>621</v>
      </c>
      <c r="AA17" s="28" t="s">
        <v>621</v>
      </c>
      <c r="AB17" s="28" t="s">
        <v>621</v>
      </c>
      <c r="AC17" s="28" t="s">
        <v>621</v>
      </c>
      <c r="AD17" s="28" t="s">
        <v>620</v>
      </c>
      <c r="AE17" s="27" t="s">
        <v>695</v>
      </c>
      <c r="AF17" s="27" t="s">
        <v>696</v>
      </c>
      <c r="AG17" s="27" t="s">
        <v>672</v>
      </c>
      <c r="AH17" s="27" t="s">
        <v>631</v>
      </c>
    </row>
    <row r="18" spans="1:34" ht="45" x14ac:dyDescent="0.2">
      <c r="A18" s="28" t="s">
        <v>974</v>
      </c>
      <c r="B18" s="31" t="s">
        <v>622</v>
      </c>
      <c r="C18" s="26" t="s">
        <v>28</v>
      </c>
      <c r="D18" s="26" t="s">
        <v>58</v>
      </c>
      <c r="E18" s="29" t="s">
        <v>102</v>
      </c>
      <c r="F18" s="28" t="s">
        <v>103</v>
      </c>
      <c r="G18" s="26" t="s">
        <v>20</v>
      </c>
      <c r="H18" s="26" t="s">
        <v>889</v>
      </c>
      <c r="I18" s="32">
        <f>(Metodologia[[#This Row],[Visites]]*0.15)/MAX(Metodologia[Visites])</f>
        <v>0.10378932833147962</v>
      </c>
      <c r="J18" s="26" t="s">
        <v>561</v>
      </c>
      <c r="K18" s="28" t="s">
        <v>620</v>
      </c>
      <c r="L18" s="28" t="s">
        <v>620</v>
      </c>
      <c r="M18" s="28" t="s">
        <v>620</v>
      </c>
      <c r="N18" s="26" t="s">
        <v>644</v>
      </c>
      <c r="O18" s="47">
        <v>293638</v>
      </c>
      <c r="P18" s="26" t="s">
        <v>1134</v>
      </c>
      <c r="Q18" s="26" t="s">
        <v>54</v>
      </c>
      <c r="R18" s="26" t="s">
        <v>104</v>
      </c>
      <c r="S18" s="26" t="s">
        <v>1121</v>
      </c>
      <c r="T18" s="26" t="s">
        <v>105</v>
      </c>
      <c r="U18" s="26"/>
      <c r="V18" s="26" t="s">
        <v>106</v>
      </c>
      <c r="W18" s="28" t="s">
        <v>620</v>
      </c>
      <c r="X18" s="28" t="s">
        <v>621</v>
      </c>
      <c r="Y18" s="28" t="s">
        <v>621</v>
      </c>
      <c r="Z18" s="28" t="s">
        <v>621</v>
      </c>
      <c r="AA18" s="28" t="s">
        <v>621</v>
      </c>
      <c r="AB18" s="28" t="s">
        <v>621</v>
      </c>
      <c r="AC18" s="28" t="s">
        <v>621</v>
      </c>
      <c r="AD18" s="28" t="s">
        <v>621</v>
      </c>
      <c r="AE18" s="27" t="s">
        <v>697</v>
      </c>
      <c r="AF18" s="27" t="s">
        <v>698</v>
      </c>
      <c r="AG18" s="27" t="s">
        <v>699</v>
      </c>
      <c r="AH18" s="27" t="s">
        <v>631</v>
      </c>
    </row>
    <row r="19" spans="1:34" ht="45" x14ac:dyDescent="0.2">
      <c r="A19" s="28" t="s">
        <v>975</v>
      </c>
      <c r="B19" s="31" t="s">
        <v>622</v>
      </c>
      <c r="C19" s="26" t="s">
        <v>28</v>
      </c>
      <c r="D19" s="26" t="s">
        <v>58</v>
      </c>
      <c r="E19" s="29" t="s">
        <v>257</v>
      </c>
      <c r="F19" s="28" t="s">
        <v>258</v>
      </c>
      <c r="G19" s="26" t="s">
        <v>20</v>
      </c>
      <c r="H19" s="26" t="s">
        <v>894</v>
      </c>
      <c r="I19" s="32">
        <f>(Metodologia[[#This Row],[Visites]]*0.15)/MAX(Metodologia[Visites])</f>
        <v>1.911653816426942E-2</v>
      </c>
      <c r="J19" s="26" t="s">
        <v>565</v>
      </c>
      <c r="K19" s="28" t="s">
        <v>620</v>
      </c>
      <c r="L19" s="28" t="s">
        <v>620</v>
      </c>
      <c r="M19" s="28" t="s">
        <v>621</v>
      </c>
      <c r="N19" s="26" t="s">
        <v>632</v>
      </c>
      <c r="O19" s="47">
        <v>54084</v>
      </c>
      <c r="P19" s="26" t="s">
        <v>1134</v>
      </c>
      <c r="Q19" s="26" t="s">
        <v>54</v>
      </c>
      <c r="R19" s="26" t="s">
        <v>259</v>
      </c>
      <c r="S19" s="26" t="s">
        <v>1121</v>
      </c>
      <c r="T19" s="26"/>
      <c r="U19" s="26"/>
      <c r="V19" s="26" t="s">
        <v>260</v>
      </c>
      <c r="W19" s="28" t="s">
        <v>620</v>
      </c>
      <c r="X19" s="28" t="s">
        <v>621</v>
      </c>
      <c r="Y19" s="28" t="s">
        <v>621</v>
      </c>
      <c r="Z19" s="28" t="s">
        <v>621</v>
      </c>
      <c r="AA19" s="28" t="s">
        <v>621</v>
      </c>
      <c r="AB19" s="28" t="s">
        <v>621</v>
      </c>
      <c r="AC19" s="28" t="s">
        <v>621</v>
      </c>
      <c r="AD19" s="28" t="s">
        <v>621</v>
      </c>
      <c r="AE19" s="27" t="s">
        <v>700</v>
      </c>
      <c r="AF19" s="27" t="s">
        <v>701</v>
      </c>
      <c r="AG19" s="27" t="s">
        <v>702</v>
      </c>
      <c r="AH19" s="27" t="s">
        <v>631</v>
      </c>
    </row>
    <row r="20" spans="1:34" ht="45" x14ac:dyDescent="0.2">
      <c r="A20" s="28" t="s">
        <v>976</v>
      </c>
      <c r="B20" s="31" t="s">
        <v>623</v>
      </c>
      <c r="C20" s="26" t="s">
        <v>28</v>
      </c>
      <c r="D20" s="26" t="s">
        <v>58</v>
      </c>
      <c r="E20" s="29" t="s">
        <v>400</v>
      </c>
      <c r="F20" s="28" t="s">
        <v>401</v>
      </c>
      <c r="G20" s="26" t="s">
        <v>6</v>
      </c>
      <c r="H20" s="26" t="s">
        <v>889</v>
      </c>
      <c r="I20" s="32">
        <f>(Metodologia[[#This Row],[Visites]]*0.15)/MAX(Metodologia[Visites])</f>
        <v>1.6333039568684374E-2</v>
      </c>
      <c r="J20" s="26"/>
      <c r="K20" s="28" t="s">
        <v>620</v>
      </c>
      <c r="L20" s="28" t="s">
        <v>620</v>
      </c>
      <c r="M20" s="28" t="s">
        <v>620</v>
      </c>
      <c r="N20" s="26" t="s">
        <v>644</v>
      </c>
      <c r="O20" s="47">
        <v>46209</v>
      </c>
      <c r="P20" s="26" t="s">
        <v>1134</v>
      </c>
      <c r="Q20" s="26" t="s">
        <v>54</v>
      </c>
      <c r="R20" s="26" t="s">
        <v>203</v>
      </c>
      <c r="S20" s="26" t="s">
        <v>1121</v>
      </c>
      <c r="T20" s="26" t="s">
        <v>1122</v>
      </c>
      <c r="U20" s="26"/>
      <c r="V20" s="26" t="s">
        <v>402</v>
      </c>
      <c r="W20" s="28" t="s">
        <v>620</v>
      </c>
      <c r="X20" s="28" t="s">
        <v>620</v>
      </c>
      <c r="Y20" s="28" t="s">
        <v>620</v>
      </c>
      <c r="Z20" s="28" t="s">
        <v>620</v>
      </c>
      <c r="AA20" s="28" t="s">
        <v>620</v>
      </c>
      <c r="AB20" s="28" t="s">
        <v>620</v>
      </c>
      <c r="AC20" s="28" t="s">
        <v>620</v>
      </c>
      <c r="AD20" s="28" t="s">
        <v>620</v>
      </c>
      <c r="AE20" s="27" t="s">
        <v>703</v>
      </c>
      <c r="AF20" s="27" t="s">
        <v>704</v>
      </c>
      <c r="AG20" s="27" t="s">
        <v>705</v>
      </c>
      <c r="AH20" s="27" t="s">
        <v>631</v>
      </c>
    </row>
    <row r="21" spans="1:34" ht="180" x14ac:dyDescent="0.2">
      <c r="A21" s="28" t="s">
        <v>977</v>
      </c>
      <c r="B21" s="31" t="s">
        <v>623</v>
      </c>
      <c r="C21" s="26" t="s">
        <v>28</v>
      </c>
      <c r="D21" s="26" t="s">
        <v>58</v>
      </c>
      <c r="E21" s="29" t="s">
        <v>59</v>
      </c>
      <c r="F21" s="28" t="s">
        <v>60</v>
      </c>
      <c r="G21" s="26" t="s">
        <v>6</v>
      </c>
      <c r="H21" s="26" t="s">
        <v>948</v>
      </c>
      <c r="I21" s="32">
        <f>(Metodologia[[#This Row],[Visites]]*0.15)/MAX(Metodologia[Visites])</f>
        <v>9.9221562953607179E-2</v>
      </c>
      <c r="J21" s="26" t="s">
        <v>566</v>
      </c>
      <c r="K21" s="28" t="s">
        <v>620</v>
      </c>
      <c r="L21" s="28" t="s">
        <v>620</v>
      </c>
      <c r="M21" s="28" t="s">
        <v>620</v>
      </c>
      <c r="N21" s="26" t="s">
        <v>635</v>
      </c>
      <c r="O21" s="47">
        <v>280715</v>
      </c>
      <c r="P21" s="26" t="s">
        <v>1134</v>
      </c>
      <c r="Q21" s="26" t="s">
        <v>54</v>
      </c>
      <c r="R21" s="26" t="s">
        <v>61</v>
      </c>
      <c r="S21" s="26" t="s">
        <v>1135</v>
      </c>
      <c r="T21" s="26" t="s">
        <v>62</v>
      </c>
      <c r="U21" s="26"/>
      <c r="V21" s="26" t="s">
        <v>63</v>
      </c>
      <c r="W21" s="28" t="s">
        <v>620</v>
      </c>
      <c r="X21" s="28" t="s">
        <v>620</v>
      </c>
      <c r="Y21" s="28" t="s">
        <v>620</v>
      </c>
      <c r="Z21" s="28" t="s">
        <v>620</v>
      </c>
      <c r="AA21" s="28" t="s">
        <v>620</v>
      </c>
      <c r="AB21" s="28" t="s">
        <v>620</v>
      </c>
      <c r="AC21" s="28" t="s">
        <v>620</v>
      </c>
      <c r="AD21" s="28" t="s">
        <v>620</v>
      </c>
      <c r="AE21" s="27" t="s">
        <v>706</v>
      </c>
      <c r="AF21" s="27" t="s">
        <v>707</v>
      </c>
      <c r="AG21" s="27" t="s">
        <v>705</v>
      </c>
      <c r="AH21" s="27" t="s">
        <v>631</v>
      </c>
    </row>
    <row r="22" spans="1:34" ht="56.25" x14ac:dyDescent="0.2">
      <c r="A22" s="28" t="s">
        <v>978</v>
      </c>
      <c r="B22" s="31" t="s">
        <v>623</v>
      </c>
      <c r="C22" s="26" t="s">
        <v>28</v>
      </c>
      <c r="D22" s="26" t="s">
        <v>58</v>
      </c>
      <c r="E22" s="29" t="s">
        <v>507</v>
      </c>
      <c r="F22" s="28" t="s">
        <v>508</v>
      </c>
      <c r="G22" s="26" t="s">
        <v>6</v>
      </c>
      <c r="H22" s="26" t="s">
        <v>889</v>
      </c>
      <c r="I22" s="32">
        <f>(Metodologia[[#This Row],[Visites]]*0.15)/MAX(Metodologia[Visites])</f>
        <v>3.6063537994608557E-3</v>
      </c>
      <c r="J22" s="26" t="s">
        <v>567</v>
      </c>
      <c r="K22" s="28" t="s">
        <v>620</v>
      </c>
      <c r="L22" s="28" t="s">
        <v>620</v>
      </c>
      <c r="M22" s="28" t="s">
        <v>620</v>
      </c>
      <c r="N22" s="26" t="s">
        <v>632</v>
      </c>
      <c r="O22" s="47">
        <v>10203</v>
      </c>
      <c r="P22" s="26"/>
      <c r="Q22" s="26" t="s">
        <v>54</v>
      </c>
      <c r="R22" s="26" t="s">
        <v>509</v>
      </c>
      <c r="S22" s="26" t="s">
        <v>1136</v>
      </c>
      <c r="T22" s="26" t="s">
        <v>510</v>
      </c>
      <c r="U22" s="26"/>
      <c r="V22" s="26" t="s">
        <v>511</v>
      </c>
      <c r="W22" s="28" t="s">
        <v>620</v>
      </c>
      <c r="X22" s="28" t="s">
        <v>620</v>
      </c>
      <c r="Y22" s="28" t="s">
        <v>620</v>
      </c>
      <c r="Z22" s="28" t="s">
        <v>620</v>
      </c>
      <c r="AA22" s="28" t="s">
        <v>620</v>
      </c>
      <c r="AB22" s="28" t="s">
        <v>620</v>
      </c>
      <c r="AC22" s="28" t="s">
        <v>620</v>
      </c>
      <c r="AD22" s="28" t="s">
        <v>620</v>
      </c>
      <c r="AE22" s="27" t="s">
        <v>708</v>
      </c>
      <c r="AF22" s="27" t="s">
        <v>709</v>
      </c>
      <c r="AG22" s="27" t="s">
        <v>710</v>
      </c>
      <c r="AH22" s="27" t="s">
        <v>631</v>
      </c>
    </row>
    <row r="23" spans="1:34" ht="33.75" x14ac:dyDescent="0.2">
      <c r="A23" s="28" t="s">
        <v>979</v>
      </c>
      <c r="B23" s="31" t="s">
        <v>623</v>
      </c>
      <c r="C23" s="26" t="s">
        <v>28</v>
      </c>
      <c r="D23" s="26" t="s">
        <v>58</v>
      </c>
      <c r="E23" s="29" t="s">
        <v>512</v>
      </c>
      <c r="F23" s="28" t="s">
        <v>513</v>
      </c>
      <c r="G23" s="26" t="s">
        <v>6</v>
      </c>
      <c r="H23" s="26" t="s">
        <v>889</v>
      </c>
      <c r="I23" s="32">
        <f>(Metodologia[[#This Row],[Visites]]*0.15)/MAX(Metodologia[Visites])</f>
        <v>5.5387203800403412E-4</v>
      </c>
      <c r="J23" s="26" t="s">
        <v>568</v>
      </c>
      <c r="K23" s="28" t="s">
        <v>620</v>
      </c>
      <c r="L23" s="28" t="s">
        <v>620</v>
      </c>
      <c r="M23" s="28" t="s">
        <v>620</v>
      </c>
      <c r="N23" s="26" t="s">
        <v>648</v>
      </c>
      <c r="O23" s="47">
        <v>1567</v>
      </c>
      <c r="P23" s="26"/>
      <c r="Q23" s="26" t="s">
        <v>54</v>
      </c>
      <c r="R23" s="26" t="s">
        <v>514</v>
      </c>
      <c r="S23" s="26" t="s">
        <v>1136</v>
      </c>
      <c r="T23" s="26" t="s">
        <v>515</v>
      </c>
      <c r="U23" s="26"/>
      <c r="V23" s="26" t="s">
        <v>516</v>
      </c>
      <c r="W23" s="28" t="s">
        <v>620</v>
      </c>
      <c r="X23" s="28" t="s">
        <v>620</v>
      </c>
      <c r="Y23" s="28" t="s">
        <v>620</v>
      </c>
      <c r="Z23" s="28" t="s">
        <v>620</v>
      </c>
      <c r="AA23" s="28" t="s">
        <v>620</v>
      </c>
      <c r="AB23" s="28" t="s">
        <v>620</v>
      </c>
      <c r="AC23" s="28" t="s">
        <v>620</v>
      </c>
      <c r="AD23" s="28" t="s">
        <v>620</v>
      </c>
      <c r="AE23" s="27" t="s">
        <v>711</v>
      </c>
      <c r="AF23" s="27" t="s">
        <v>712</v>
      </c>
      <c r="AG23" s="27" t="s">
        <v>713</v>
      </c>
      <c r="AH23" s="27" t="s">
        <v>631</v>
      </c>
    </row>
    <row r="24" spans="1:34" ht="33.75" x14ac:dyDescent="0.2">
      <c r="A24" s="28" t="s">
        <v>980</v>
      </c>
      <c r="B24" s="31" t="s">
        <v>622</v>
      </c>
      <c r="C24" s="26" t="s">
        <v>28</v>
      </c>
      <c r="D24" s="26" t="s">
        <v>51</v>
      </c>
      <c r="E24" s="29" t="s">
        <v>430</v>
      </c>
      <c r="F24" s="28" t="s">
        <v>431</v>
      </c>
      <c r="G24" s="26" t="s">
        <v>20</v>
      </c>
      <c r="H24" s="26" t="s">
        <v>889</v>
      </c>
      <c r="I24" s="32">
        <f>(Metodologia[[#This Row],[Visites]]*0.15)/MAX(Metodologia[Visites])</f>
        <v>9.9106688408392551E-3</v>
      </c>
      <c r="J24" s="26" t="s">
        <v>569</v>
      </c>
      <c r="K24" s="28" t="s">
        <v>620</v>
      </c>
      <c r="L24" s="28" t="s">
        <v>621</v>
      </c>
      <c r="M24" s="28" t="s">
        <v>620</v>
      </c>
      <c r="N24" s="26" t="s">
        <v>632</v>
      </c>
      <c r="O24" s="47">
        <v>28039</v>
      </c>
      <c r="P24" s="26" t="s">
        <v>1137</v>
      </c>
      <c r="Q24" s="26" t="s">
        <v>54</v>
      </c>
      <c r="R24" s="26" t="s">
        <v>432</v>
      </c>
      <c r="S24" s="26"/>
      <c r="T24" s="26" t="s">
        <v>433</v>
      </c>
      <c r="U24" s="26"/>
      <c r="V24" s="26" t="s">
        <v>434</v>
      </c>
      <c r="W24" s="28" t="s">
        <v>620</v>
      </c>
      <c r="X24" s="28" t="s">
        <v>620</v>
      </c>
      <c r="Y24" s="28" t="s">
        <v>621</v>
      </c>
      <c r="Z24" s="28" t="s">
        <v>1227</v>
      </c>
      <c r="AA24" s="28" t="s">
        <v>1227</v>
      </c>
      <c r="AB24" s="28" t="s">
        <v>620</v>
      </c>
      <c r="AC24" s="28" t="s">
        <v>1227</v>
      </c>
      <c r="AD24" s="28" t="s">
        <v>620</v>
      </c>
      <c r="AE24" s="27" t="s">
        <v>714</v>
      </c>
      <c r="AF24" s="27" t="s">
        <v>692</v>
      </c>
      <c r="AG24" s="27" t="s">
        <v>672</v>
      </c>
      <c r="AH24" s="27" t="s">
        <v>636</v>
      </c>
    </row>
    <row r="25" spans="1:34" ht="33.75" x14ac:dyDescent="0.2">
      <c r="A25" s="28" t="s">
        <v>981</v>
      </c>
      <c r="B25" s="31" t="s">
        <v>622</v>
      </c>
      <c r="C25" s="26" t="s">
        <v>28</v>
      </c>
      <c r="D25" s="26" t="s">
        <v>51</v>
      </c>
      <c r="E25" s="29" t="s">
        <v>481</v>
      </c>
      <c r="F25" s="28" t="s">
        <v>482</v>
      </c>
      <c r="G25" s="26" t="s">
        <v>20</v>
      </c>
      <c r="H25" s="26" t="s">
        <v>889</v>
      </c>
      <c r="I25" s="32">
        <f>(Metodologia[[#This Row],[Visites]]*0.15)/MAX(Metodologia[Visites])</f>
        <v>1.4336696702923821E-2</v>
      </c>
      <c r="J25" s="26" t="s">
        <v>570</v>
      </c>
      <c r="K25" s="28" t="s">
        <v>620</v>
      </c>
      <c r="L25" s="28" t="s">
        <v>621</v>
      </c>
      <c r="M25" s="28" t="s">
        <v>620</v>
      </c>
      <c r="N25" s="26" t="s">
        <v>632</v>
      </c>
      <c r="O25" s="47">
        <v>40561</v>
      </c>
      <c r="P25" s="26" t="s">
        <v>1137</v>
      </c>
      <c r="Q25" s="26" t="s">
        <v>54</v>
      </c>
      <c r="R25" s="26" t="s">
        <v>432</v>
      </c>
      <c r="S25" s="26"/>
      <c r="T25" s="26" t="s">
        <v>483</v>
      </c>
      <c r="U25" s="26"/>
      <c r="V25" s="26" t="s">
        <v>484</v>
      </c>
      <c r="W25" s="28" t="s">
        <v>620</v>
      </c>
      <c r="X25" s="28" t="s">
        <v>620</v>
      </c>
      <c r="Y25" s="28" t="s">
        <v>620</v>
      </c>
      <c r="Z25" s="28" t="s">
        <v>1227</v>
      </c>
      <c r="AA25" s="28" t="s">
        <v>1227</v>
      </c>
      <c r="AB25" s="28" t="s">
        <v>620</v>
      </c>
      <c r="AC25" s="28" t="s">
        <v>1227</v>
      </c>
      <c r="AD25" s="28" t="s">
        <v>620</v>
      </c>
      <c r="AE25" s="27" t="s">
        <v>714</v>
      </c>
      <c r="AF25" s="27" t="s">
        <v>692</v>
      </c>
      <c r="AG25" s="27" t="s">
        <v>672</v>
      </c>
      <c r="AH25" s="27" t="s">
        <v>631</v>
      </c>
    </row>
    <row r="26" spans="1:34" ht="33.75" x14ac:dyDescent="0.2">
      <c r="A26" s="28" t="s">
        <v>982</v>
      </c>
      <c r="B26" s="31" t="s">
        <v>626</v>
      </c>
      <c r="C26" s="26" t="s">
        <v>28</v>
      </c>
      <c r="D26" s="26" t="s">
        <v>51</v>
      </c>
      <c r="E26" s="29" t="s">
        <v>550</v>
      </c>
      <c r="F26" s="28" t="s">
        <v>551</v>
      </c>
      <c r="G26" s="26" t="s">
        <v>96</v>
      </c>
      <c r="H26" s="26"/>
      <c r="I26" s="32">
        <f>(Metodologia[[#This Row],[Visites]]*0.15)/MAX(Metodologia[Visites])</f>
        <v>2.3876232397685073E-3</v>
      </c>
      <c r="J26" s="26" t="s">
        <v>571</v>
      </c>
      <c r="K26" s="28" t="s">
        <v>621</v>
      </c>
      <c r="L26" s="28" t="s">
        <v>621</v>
      </c>
      <c r="M26" s="28" t="s">
        <v>621</v>
      </c>
      <c r="N26" s="26" t="s">
        <v>632</v>
      </c>
      <c r="O26" s="47">
        <v>6755</v>
      </c>
      <c r="P26" s="26" t="s">
        <v>1138</v>
      </c>
      <c r="Q26" s="26" t="s">
        <v>54</v>
      </c>
      <c r="R26" s="26"/>
      <c r="S26" s="26"/>
      <c r="T26" s="26"/>
      <c r="U26" s="26" t="s">
        <v>33</v>
      </c>
      <c r="V26" s="26" t="s">
        <v>552</v>
      </c>
      <c r="W26" s="28" t="s">
        <v>620</v>
      </c>
      <c r="X26" s="28" t="s">
        <v>1227</v>
      </c>
      <c r="Y26" s="28" t="s">
        <v>1227</v>
      </c>
      <c r="Z26" s="28" t="s">
        <v>1227</v>
      </c>
      <c r="AA26" s="28" t="s">
        <v>1227</v>
      </c>
      <c r="AB26" s="28" t="s">
        <v>1227</v>
      </c>
      <c r="AC26" s="28" t="s">
        <v>1227</v>
      </c>
      <c r="AD26" s="28" t="s">
        <v>1227</v>
      </c>
      <c r="AE26" s="27" t="s">
        <v>715</v>
      </c>
      <c r="AF26" s="27" t="s">
        <v>716</v>
      </c>
      <c r="AG26" s="27" t="s">
        <v>717</v>
      </c>
      <c r="AH26" s="27" t="s">
        <v>646</v>
      </c>
    </row>
    <row r="27" spans="1:34" ht="33.75" x14ac:dyDescent="0.2">
      <c r="A27" s="28" t="s">
        <v>983</v>
      </c>
      <c r="B27" s="31" t="s">
        <v>626</v>
      </c>
      <c r="C27" s="26" t="s">
        <v>28</v>
      </c>
      <c r="D27" s="26" t="s">
        <v>51</v>
      </c>
      <c r="E27" s="29" t="s">
        <v>521</v>
      </c>
      <c r="F27" s="28" t="s">
        <v>522</v>
      </c>
      <c r="G27" s="26" t="s">
        <v>6</v>
      </c>
      <c r="H27" s="26"/>
      <c r="I27" s="32">
        <f>(Metodologia[[#This Row],[Visites]]*0.15)/MAX(Metodologia[Visites])</f>
        <v>3.4398740739344353E-3</v>
      </c>
      <c r="J27" s="26"/>
      <c r="K27" s="28" t="s">
        <v>621</v>
      </c>
      <c r="L27" s="28" t="s">
        <v>620</v>
      </c>
      <c r="M27" s="28" t="s">
        <v>621</v>
      </c>
      <c r="N27" s="26" t="s">
        <v>632</v>
      </c>
      <c r="O27" s="47">
        <v>9732</v>
      </c>
      <c r="P27" s="26"/>
      <c r="Q27" s="26" t="s">
        <v>54</v>
      </c>
      <c r="R27" s="26"/>
      <c r="S27" s="26"/>
      <c r="T27" s="26"/>
      <c r="U27" s="26" t="s">
        <v>33</v>
      </c>
      <c r="V27" s="26" t="s">
        <v>523</v>
      </c>
      <c r="W27" s="28" t="s">
        <v>620</v>
      </c>
      <c r="X27" s="28" t="s">
        <v>1227</v>
      </c>
      <c r="Y27" s="28" t="s">
        <v>1227</v>
      </c>
      <c r="Z27" s="28" t="s">
        <v>1227</v>
      </c>
      <c r="AA27" s="28" t="s">
        <v>1227</v>
      </c>
      <c r="AB27" s="28" t="s">
        <v>1227</v>
      </c>
      <c r="AC27" s="28" t="s">
        <v>1227</v>
      </c>
      <c r="AD27" s="28" t="s">
        <v>1227</v>
      </c>
      <c r="AE27" s="27" t="s">
        <v>718</v>
      </c>
      <c r="AF27" s="27" t="s">
        <v>719</v>
      </c>
      <c r="AG27" s="27" t="s">
        <v>720</v>
      </c>
      <c r="AH27" s="27" t="s">
        <v>646</v>
      </c>
    </row>
    <row r="28" spans="1:34" ht="33.75" x14ac:dyDescent="0.2">
      <c r="A28" s="28" t="s">
        <v>984</v>
      </c>
      <c r="B28" s="31" t="s">
        <v>625</v>
      </c>
      <c r="C28" s="26" t="s">
        <v>28</v>
      </c>
      <c r="D28" s="26" t="s">
        <v>51</v>
      </c>
      <c r="E28" s="29" t="s">
        <v>477</v>
      </c>
      <c r="F28" s="28" t="s">
        <v>478</v>
      </c>
      <c r="G28" s="26" t="s">
        <v>6</v>
      </c>
      <c r="H28" s="26" t="s">
        <v>889</v>
      </c>
      <c r="I28" s="32">
        <f>(Metodologia[[#This Row],[Visites]]*0.15)/MAX(Metodologia[Visites])</f>
        <v>1.8447084660772523E-3</v>
      </c>
      <c r="J28" s="26"/>
      <c r="K28" s="28" t="s">
        <v>620</v>
      </c>
      <c r="L28" s="28" t="s">
        <v>620</v>
      </c>
      <c r="M28" s="28" t="s">
        <v>621</v>
      </c>
      <c r="N28" s="26" t="s">
        <v>632</v>
      </c>
      <c r="O28" s="47">
        <v>5219</v>
      </c>
      <c r="P28" s="26"/>
      <c r="Q28" s="26" t="s">
        <v>54</v>
      </c>
      <c r="R28" s="26" t="s">
        <v>432</v>
      </c>
      <c r="S28" s="26"/>
      <c r="T28" s="26" t="s">
        <v>479</v>
      </c>
      <c r="U28" s="26"/>
      <c r="V28" s="26" t="s">
        <v>480</v>
      </c>
      <c r="W28" s="28" t="s">
        <v>620</v>
      </c>
      <c r="X28" s="28" t="s">
        <v>620</v>
      </c>
      <c r="Y28" s="28" t="s">
        <v>620</v>
      </c>
      <c r="Z28" s="28" t="s">
        <v>1227</v>
      </c>
      <c r="AA28" s="28" t="s">
        <v>1227</v>
      </c>
      <c r="AB28" s="28" t="s">
        <v>620</v>
      </c>
      <c r="AC28" s="28" t="s">
        <v>1227</v>
      </c>
      <c r="AD28" s="28" t="s">
        <v>620</v>
      </c>
      <c r="AE28" s="27" t="s">
        <v>721</v>
      </c>
      <c r="AF28" s="27" t="s">
        <v>722</v>
      </c>
      <c r="AG28" s="27" t="s">
        <v>713</v>
      </c>
      <c r="AH28" s="27" t="s">
        <v>631</v>
      </c>
    </row>
    <row r="29" spans="1:34" ht="33.75" x14ac:dyDescent="0.2">
      <c r="A29" s="28" t="s">
        <v>985</v>
      </c>
      <c r="B29" s="31" t="s">
        <v>623</v>
      </c>
      <c r="C29" s="26" t="s">
        <v>28</v>
      </c>
      <c r="D29" s="26" t="s">
        <v>51</v>
      </c>
      <c r="E29" s="29" t="s">
        <v>531</v>
      </c>
      <c r="F29" s="28" t="s">
        <v>532</v>
      </c>
      <c r="G29" s="26" t="s">
        <v>6</v>
      </c>
      <c r="H29" s="26" t="s">
        <v>889</v>
      </c>
      <c r="I29" s="32">
        <f>(Metodologia[[#This Row],[Visites]]*0.15)/MAX(Metodologia[Visites])</f>
        <v>2.5368187644918657E-2</v>
      </c>
      <c r="J29" s="26"/>
      <c r="K29" s="28" t="s">
        <v>620</v>
      </c>
      <c r="L29" s="28" t="s">
        <v>620</v>
      </c>
      <c r="M29" s="28" t="s">
        <v>620</v>
      </c>
      <c r="N29" s="26" t="s">
        <v>632</v>
      </c>
      <c r="O29" s="47">
        <v>71771</v>
      </c>
      <c r="P29" s="26"/>
      <c r="Q29" s="26" t="s">
        <v>54</v>
      </c>
      <c r="R29" s="26" t="s">
        <v>533</v>
      </c>
      <c r="S29" s="26"/>
      <c r="T29" s="26" t="s">
        <v>534</v>
      </c>
      <c r="U29" s="26"/>
      <c r="V29" s="26" t="s">
        <v>535</v>
      </c>
      <c r="W29" s="28" t="s">
        <v>620</v>
      </c>
      <c r="X29" s="28" t="s">
        <v>620</v>
      </c>
      <c r="Y29" s="28" t="s">
        <v>620</v>
      </c>
      <c r="Z29" s="28" t="s">
        <v>620</v>
      </c>
      <c r="AA29" s="28" t="s">
        <v>620</v>
      </c>
      <c r="AB29" s="28" t="s">
        <v>620</v>
      </c>
      <c r="AC29" s="28" t="s">
        <v>620</v>
      </c>
      <c r="AD29" s="28" t="s">
        <v>620</v>
      </c>
      <c r="AE29" s="27" t="s">
        <v>723</v>
      </c>
      <c r="AF29" s="27" t="s">
        <v>724</v>
      </c>
      <c r="AG29" s="27" t="s">
        <v>725</v>
      </c>
      <c r="AH29" s="27" t="s">
        <v>631</v>
      </c>
    </row>
    <row r="30" spans="1:34" ht="22.5" x14ac:dyDescent="0.2">
      <c r="A30" s="28" t="s">
        <v>986</v>
      </c>
      <c r="B30" s="31" t="s">
        <v>622</v>
      </c>
      <c r="C30" s="26" t="s">
        <v>28</v>
      </c>
      <c r="D30" s="26" t="s">
        <v>51</v>
      </c>
      <c r="E30" s="29" t="s">
        <v>172</v>
      </c>
      <c r="F30" s="28" t="s">
        <v>173</v>
      </c>
      <c r="G30" s="26" t="s">
        <v>20</v>
      </c>
      <c r="H30" s="26" t="s">
        <v>889</v>
      </c>
      <c r="I30" s="32">
        <f>(Metodologia[[#This Row],[Visites]]*0.15)/MAX(Metodologia[Visites])</f>
        <v>0.1449670810790431</v>
      </c>
      <c r="J30" s="26" t="s">
        <v>572</v>
      </c>
      <c r="K30" s="28" t="s">
        <v>620</v>
      </c>
      <c r="L30" s="28" t="s">
        <v>620</v>
      </c>
      <c r="M30" s="28" t="s">
        <v>620</v>
      </c>
      <c r="N30" s="26" t="s">
        <v>632</v>
      </c>
      <c r="O30" s="47">
        <v>410137</v>
      </c>
      <c r="P30" s="26" t="s">
        <v>1137</v>
      </c>
      <c r="Q30" s="26" t="s">
        <v>54</v>
      </c>
      <c r="R30" s="26" t="s">
        <v>174</v>
      </c>
      <c r="S30" s="26"/>
      <c r="T30" s="26"/>
      <c r="U30" s="26"/>
      <c r="V30" s="26" t="s">
        <v>175</v>
      </c>
      <c r="W30" s="28" t="s">
        <v>620</v>
      </c>
      <c r="X30" s="28" t="s">
        <v>620</v>
      </c>
      <c r="Y30" s="28" t="s">
        <v>620</v>
      </c>
      <c r="Z30" s="28" t="s">
        <v>620</v>
      </c>
      <c r="AA30" s="28" t="s">
        <v>620</v>
      </c>
      <c r="AB30" s="28" t="s">
        <v>620</v>
      </c>
      <c r="AC30" s="28" t="s">
        <v>620</v>
      </c>
      <c r="AD30" s="28" t="s">
        <v>620</v>
      </c>
      <c r="AE30" s="27" t="s">
        <v>670</v>
      </c>
      <c r="AF30" s="27" t="s">
        <v>671</v>
      </c>
      <c r="AG30" s="27" t="s">
        <v>726</v>
      </c>
      <c r="AH30" s="27" t="s">
        <v>636</v>
      </c>
    </row>
    <row r="31" spans="1:34" ht="22.5" x14ac:dyDescent="0.2">
      <c r="A31" s="28" t="s">
        <v>987</v>
      </c>
      <c r="B31" s="31" t="s">
        <v>622</v>
      </c>
      <c r="C31" s="26" t="s">
        <v>28</v>
      </c>
      <c r="D31" s="26" t="s">
        <v>51</v>
      </c>
      <c r="E31" s="29" t="s">
        <v>524</v>
      </c>
      <c r="F31" s="28" t="s">
        <v>525</v>
      </c>
      <c r="G31" s="26" t="s">
        <v>20</v>
      </c>
      <c r="H31" s="26" t="s">
        <v>889</v>
      </c>
      <c r="I31" s="32">
        <f>(Metodologia[[#This Row],[Visites]]*0.15)/MAX(Metodologia[Visites])</f>
        <v>1.149098912285332E-2</v>
      </c>
      <c r="J31" s="26" t="s">
        <v>572</v>
      </c>
      <c r="K31" s="28" t="s">
        <v>620</v>
      </c>
      <c r="L31" s="28" t="s">
        <v>621</v>
      </c>
      <c r="M31" s="28" t="s">
        <v>620</v>
      </c>
      <c r="N31" s="26" t="s">
        <v>632</v>
      </c>
      <c r="O31" s="47">
        <v>32510</v>
      </c>
      <c r="P31" s="26" t="s">
        <v>1137</v>
      </c>
      <c r="Q31" s="26" t="s">
        <v>54</v>
      </c>
      <c r="R31" s="26" t="s">
        <v>174</v>
      </c>
      <c r="S31" s="26"/>
      <c r="T31" s="26" t="s">
        <v>526</v>
      </c>
      <c r="U31" s="26"/>
      <c r="V31" s="26" t="s">
        <v>527</v>
      </c>
      <c r="W31" s="28" t="s">
        <v>620</v>
      </c>
      <c r="X31" s="28" t="s">
        <v>620</v>
      </c>
      <c r="Y31" s="28" t="s">
        <v>620</v>
      </c>
      <c r="Z31" s="28" t="s">
        <v>620</v>
      </c>
      <c r="AA31" s="28" t="s">
        <v>620</v>
      </c>
      <c r="AB31" s="28" t="s">
        <v>620</v>
      </c>
      <c r="AC31" s="28" t="s">
        <v>620</v>
      </c>
      <c r="AD31" s="28" t="s">
        <v>620</v>
      </c>
      <c r="AE31" s="27" t="s">
        <v>670</v>
      </c>
      <c r="AF31" s="27" t="s">
        <v>671</v>
      </c>
      <c r="AG31" s="27"/>
      <c r="AH31" s="27" t="s">
        <v>631</v>
      </c>
    </row>
    <row r="32" spans="1:34" ht="33.75" x14ac:dyDescent="0.2">
      <c r="A32" s="28" t="s">
        <v>988</v>
      </c>
      <c r="B32" s="31" t="s">
        <v>625</v>
      </c>
      <c r="C32" s="26" t="s">
        <v>28</v>
      </c>
      <c r="D32" s="26" t="s">
        <v>51</v>
      </c>
      <c r="E32" s="29" t="s">
        <v>345</v>
      </c>
      <c r="F32" s="28" t="s">
        <v>346</v>
      </c>
      <c r="G32" s="26" t="s">
        <v>6</v>
      </c>
      <c r="H32" s="26" t="s">
        <v>895</v>
      </c>
      <c r="I32" s="32">
        <f>(Metodologia[[#This Row],[Visites]]*0.15)/MAX(Metodologia[Visites])</f>
        <v>1.0872433879389974E-3</v>
      </c>
      <c r="J32" s="26" t="s">
        <v>572</v>
      </c>
      <c r="K32" s="28" t="s">
        <v>620</v>
      </c>
      <c r="L32" s="28" t="s">
        <v>621</v>
      </c>
      <c r="M32" s="28" t="s">
        <v>621</v>
      </c>
      <c r="N32" s="26" t="s">
        <v>632</v>
      </c>
      <c r="O32" s="47">
        <v>3076</v>
      </c>
      <c r="P32" s="26"/>
      <c r="Q32" s="26" t="s">
        <v>54</v>
      </c>
      <c r="R32" s="26" t="s">
        <v>347</v>
      </c>
      <c r="S32" s="26"/>
      <c r="T32" s="26"/>
      <c r="U32" s="26"/>
      <c r="V32" s="26" t="s">
        <v>348</v>
      </c>
      <c r="W32" s="28" t="s">
        <v>620</v>
      </c>
      <c r="X32" s="28" t="s">
        <v>620</v>
      </c>
      <c r="Y32" s="28" t="s">
        <v>620</v>
      </c>
      <c r="Z32" s="28" t="s">
        <v>620</v>
      </c>
      <c r="AA32" s="28" t="s">
        <v>620</v>
      </c>
      <c r="AB32" s="28" t="s">
        <v>620</v>
      </c>
      <c r="AC32" s="28" t="s">
        <v>620</v>
      </c>
      <c r="AD32" s="28" t="s">
        <v>620</v>
      </c>
      <c r="AE32" s="27" t="s">
        <v>727</v>
      </c>
      <c r="AF32" s="27" t="s">
        <v>728</v>
      </c>
      <c r="AG32" s="27" t="s">
        <v>729</v>
      </c>
      <c r="AH32" s="27" t="s">
        <v>631</v>
      </c>
    </row>
    <row r="33" spans="1:34" ht="33.75" x14ac:dyDescent="0.2">
      <c r="A33" s="28" t="s">
        <v>989</v>
      </c>
      <c r="B33" s="31" t="s">
        <v>622</v>
      </c>
      <c r="C33" s="26" t="s">
        <v>28</v>
      </c>
      <c r="D33" s="26" t="s">
        <v>51</v>
      </c>
      <c r="E33" s="29" t="s">
        <v>167</v>
      </c>
      <c r="F33" s="28" t="s">
        <v>168</v>
      </c>
      <c r="G33" s="26" t="s">
        <v>20</v>
      </c>
      <c r="H33" s="26" t="s">
        <v>889</v>
      </c>
      <c r="I33" s="32">
        <f>(Metodologia[[#This Row],[Visites]]*0.15)/MAX(Metodologia[Visites])</f>
        <v>5.0452900258261537E-3</v>
      </c>
      <c r="J33" s="26" t="s">
        <v>573</v>
      </c>
      <c r="K33" s="28" t="s">
        <v>620</v>
      </c>
      <c r="L33" s="28" t="s">
        <v>620</v>
      </c>
      <c r="M33" s="28" t="s">
        <v>620</v>
      </c>
      <c r="N33" s="26" t="s">
        <v>645</v>
      </c>
      <c r="O33" s="47">
        <v>14274</v>
      </c>
      <c r="P33" s="26" t="s">
        <v>1137</v>
      </c>
      <c r="Q33" s="26" t="s">
        <v>54</v>
      </c>
      <c r="R33" s="26" t="s">
        <v>169</v>
      </c>
      <c r="S33" s="26"/>
      <c r="T33" s="26" t="s">
        <v>170</v>
      </c>
      <c r="U33" s="26"/>
      <c r="V33" s="26" t="s">
        <v>171</v>
      </c>
      <c r="W33" s="28" t="s">
        <v>620</v>
      </c>
      <c r="X33" s="28" t="s">
        <v>620</v>
      </c>
      <c r="Y33" s="28" t="s">
        <v>620</v>
      </c>
      <c r="Z33" s="28" t="s">
        <v>620</v>
      </c>
      <c r="AA33" s="28" t="s">
        <v>620</v>
      </c>
      <c r="AB33" s="28" t="s">
        <v>620</v>
      </c>
      <c r="AC33" s="28" t="s">
        <v>620</v>
      </c>
      <c r="AD33" s="28" t="s">
        <v>620</v>
      </c>
      <c r="AE33" s="27" t="s">
        <v>670</v>
      </c>
      <c r="AF33" s="27" t="s">
        <v>671</v>
      </c>
      <c r="AG33" s="27" t="s">
        <v>730</v>
      </c>
      <c r="AH33" s="27" t="s">
        <v>636</v>
      </c>
    </row>
    <row r="34" spans="1:34" ht="135" x14ac:dyDescent="0.2">
      <c r="A34" s="28" t="s">
        <v>990</v>
      </c>
      <c r="B34" s="31" t="s">
        <v>623</v>
      </c>
      <c r="C34" s="26" t="s">
        <v>28</v>
      </c>
      <c r="D34" s="26" t="s">
        <v>51</v>
      </c>
      <c r="E34" s="29" t="s">
        <v>52</v>
      </c>
      <c r="F34" s="28" t="s">
        <v>53</v>
      </c>
      <c r="G34" s="26" t="s">
        <v>6</v>
      </c>
      <c r="H34" s="26" t="s">
        <v>896</v>
      </c>
      <c r="I34" s="32">
        <f>(Metodologia[[#This Row],[Visites]]*0.15)/MAX(Metodologia[Visites])</f>
        <v>4.139018229117575E-4</v>
      </c>
      <c r="J34" s="26" t="s">
        <v>574</v>
      </c>
      <c r="K34" s="28" t="s">
        <v>620</v>
      </c>
      <c r="L34" s="28" t="s">
        <v>621</v>
      </c>
      <c r="M34" s="28" t="s">
        <v>620</v>
      </c>
      <c r="N34" s="26" t="s">
        <v>632</v>
      </c>
      <c r="O34" s="47">
        <v>1171</v>
      </c>
      <c r="P34" s="26"/>
      <c r="Q34" s="26" t="s">
        <v>54</v>
      </c>
      <c r="R34" s="26" t="s">
        <v>55</v>
      </c>
      <c r="S34" s="26"/>
      <c r="T34" s="26" t="s">
        <v>56</v>
      </c>
      <c r="U34" s="26"/>
      <c r="V34" s="26" t="s">
        <v>57</v>
      </c>
      <c r="W34" s="28" t="s">
        <v>620</v>
      </c>
      <c r="X34" s="28" t="s">
        <v>620</v>
      </c>
      <c r="Y34" s="28" t="s">
        <v>620</v>
      </c>
      <c r="Z34" s="28" t="s">
        <v>620</v>
      </c>
      <c r="AA34" s="28" t="s">
        <v>620</v>
      </c>
      <c r="AB34" s="28" t="s">
        <v>620</v>
      </c>
      <c r="AC34" s="28" t="s">
        <v>620</v>
      </c>
      <c r="AD34" s="28" t="s">
        <v>620</v>
      </c>
      <c r="AE34" s="27" t="s">
        <v>731</v>
      </c>
      <c r="AF34" s="27" t="s">
        <v>732</v>
      </c>
      <c r="AG34" s="27" t="s">
        <v>713</v>
      </c>
      <c r="AH34" s="27" t="s">
        <v>631</v>
      </c>
    </row>
    <row r="35" spans="1:34" ht="33.75" x14ac:dyDescent="0.2">
      <c r="A35" s="28" t="s">
        <v>991</v>
      </c>
      <c r="B35" s="31" t="s">
        <v>625</v>
      </c>
      <c r="C35" s="26" t="s">
        <v>28</v>
      </c>
      <c r="D35" s="26" t="s">
        <v>51</v>
      </c>
      <c r="E35" s="29" t="s">
        <v>517</v>
      </c>
      <c r="F35" s="28" t="s">
        <v>518</v>
      </c>
      <c r="G35" s="26" t="s">
        <v>6</v>
      </c>
      <c r="H35" s="26" t="s">
        <v>889</v>
      </c>
      <c r="I35" s="32">
        <f>(Metodologia[[#This Row],[Visites]]*0.15)/MAX(Metodologia[Visites])</f>
        <v>1.4149009369050086E-3</v>
      </c>
      <c r="J35" s="26" t="s">
        <v>575</v>
      </c>
      <c r="K35" s="28" t="s">
        <v>620</v>
      </c>
      <c r="L35" s="28" t="s">
        <v>620</v>
      </c>
      <c r="M35" s="28" t="s">
        <v>621</v>
      </c>
      <c r="N35" s="26" t="s">
        <v>648</v>
      </c>
      <c r="O35" s="47">
        <v>4003</v>
      </c>
      <c r="P35" s="26"/>
      <c r="Q35" s="26" t="s">
        <v>54</v>
      </c>
      <c r="R35" s="26" t="s">
        <v>514</v>
      </c>
      <c r="S35" s="26" t="s">
        <v>1136</v>
      </c>
      <c r="T35" s="26" t="s">
        <v>519</v>
      </c>
      <c r="U35" s="26"/>
      <c r="V35" s="26" t="s">
        <v>520</v>
      </c>
      <c r="W35" s="28" t="s">
        <v>620</v>
      </c>
      <c r="X35" s="28" t="s">
        <v>620</v>
      </c>
      <c r="Y35" s="28" t="s">
        <v>620</v>
      </c>
      <c r="Z35" s="28" t="s">
        <v>621</v>
      </c>
      <c r="AA35" s="28" t="s">
        <v>621</v>
      </c>
      <c r="AB35" s="28" t="s">
        <v>620</v>
      </c>
      <c r="AC35" s="28" t="s">
        <v>621</v>
      </c>
      <c r="AD35" s="28" t="s">
        <v>620</v>
      </c>
      <c r="AE35" s="27" t="s">
        <v>733</v>
      </c>
      <c r="AF35" s="27" t="s">
        <v>734</v>
      </c>
      <c r="AG35" s="27" t="s">
        <v>713</v>
      </c>
      <c r="AH35" s="27" t="s">
        <v>631</v>
      </c>
    </row>
    <row r="36" spans="1:34" ht="22.5" x14ac:dyDescent="0.2">
      <c r="A36" s="28" t="s">
        <v>992</v>
      </c>
      <c r="B36" s="31" t="s">
        <v>625</v>
      </c>
      <c r="C36" s="26" t="s">
        <v>28</v>
      </c>
      <c r="D36" s="26" t="s">
        <v>200</v>
      </c>
      <c r="E36" s="29" t="s">
        <v>201</v>
      </c>
      <c r="F36" s="28" t="s">
        <v>202</v>
      </c>
      <c r="G36" s="26" t="s">
        <v>6</v>
      </c>
      <c r="H36" s="26" t="s">
        <v>889</v>
      </c>
      <c r="I36" s="32">
        <f>(Metodologia[[#This Row],[Visites]]*0.15)/MAX(Metodologia[Visites])</f>
        <v>8.3487284860595326E-4</v>
      </c>
      <c r="J36" s="26" t="s">
        <v>576</v>
      </c>
      <c r="K36" s="28" t="s">
        <v>620</v>
      </c>
      <c r="L36" s="28" t="s">
        <v>621</v>
      </c>
      <c r="M36" s="28" t="s">
        <v>621</v>
      </c>
      <c r="N36" s="26" t="s">
        <v>632</v>
      </c>
      <c r="O36" s="47">
        <v>2362</v>
      </c>
      <c r="P36" s="26"/>
      <c r="Q36" s="26" t="s">
        <v>54</v>
      </c>
      <c r="R36" s="26" t="s">
        <v>203</v>
      </c>
      <c r="S36" s="26"/>
      <c r="T36" s="26"/>
      <c r="U36" s="26" t="s">
        <v>1139</v>
      </c>
      <c r="V36" s="26" t="s">
        <v>204</v>
      </c>
      <c r="W36" s="28" t="s">
        <v>620</v>
      </c>
      <c r="X36" s="28" t="s">
        <v>620</v>
      </c>
      <c r="Y36" s="28" t="s">
        <v>620</v>
      </c>
      <c r="Z36" s="28" t="s">
        <v>620</v>
      </c>
      <c r="AA36" s="28" t="s">
        <v>620</v>
      </c>
      <c r="AB36" s="28" t="s">
        <v>620</v>
      </c>
      <c r="AC36" s="28" t="s">
        <v>620</v>
      </c>
      <c r="AD36" s="28" t="s">
        <v>620</v>
      </c>
      <c r="AE36" s="27" t="s">
        <v>735</v>
      </c>
      <c r="AF36" s="27" t="s">
        <v>736</v>
      </c>
      <c r="AG36" s="27" t="s">
        <v>725</v>
      </c>
      <c r="AH36" s="27" t="s">
        <v>631</v>
      </c>
    </row>
    <row r="37" spans="1:34" ht="33.75" x14ac:dyDescent="0.2">
      <c r="A37" s="28" t="s">
        <v>993</v>
      </c>
      <c r="B37" s="31" t="s">
        <v>626</v>
      </c>
      <c r="C37" s="26" t="s">
        <v>28</v>
      </c>
      <c r="D37" s="26" t="s">
        <v>200</v>
      </c>
      <c r="E37" s="29" t="s">
        <v>241</v>
      </c>
      <c r="F37" s="28" t="s">
        <v>242</v>
      </c>
      <c r="G37" s="26" t="s">
        <v>6</v>
      </c>
      <c r="H37" s="26"/>
      <c r="I37" s="32">
        <f>(Metodologia[[#This Row],[Visites]]*0.15)/MAX(Metodologia[Visites])</f>
        <v>1.6100109337003035E-3</v>
      </c>
      <c r="J37" s="26" t="s">
        <v>577</v>
      </c>
      <c r="K37" s="28" t="s">
        <v>621</v>
      </c>
      <c r="L37" s="28" t="s">
        <v>621</v>
      </c>
      <c r="M37" s="28" t="s">
        <v>621</v>
      </c>
      <c r="N37" s="26" t="s">
        <v>632</v>
      </c>
      <c r="O37" s="47">
        <v>4555</v>
      </c>
      <c r="P37" s="26"/>
      <c r="Q37" s="26" t="s">
        <v>54</v>
      </c>
      <c r="R37" s="26"/>
      <c r="S37" s="26"/>
      <c r="T37" s="26"/>
      <c r="U37" s="26" t="s">
        <v>1140</v>
      </c>
      <c r="V37" s="26" t="s">
        <v>243</v>
      </c>
      <c r="W37" s="28" t="s">
        <v>620</v>
      </c>
      <c r="X37" s="28" t="s">
        <v>620</v>
      </c>
      <c r="Y37" s="28" t="s">
        <v>620</v>
      </c>
      <c r="Z37" s="28" t="s">
        <v>620</v>
      </c>
      <c r="AA37" s="28" t="s">
        <v>620</v>
      </c>
      <c r="AB37" s="28" t="s">
        <v>620</v>
      </c>
      <c r="AC37" s="28" t="s">
        <v>620</v>
      </c>
      <c r="AD37" s="28" t="s">
        <v>620</v>
      </c>
      <c r="AE37" s="27" t="s">
        <v>737</v>
      </c>
      <c r="AF37" s="27" t="s">
        <v>738</v>
      </c>
      <c r="AG37" s="27" t="s">
        <v>725</v>
      </c>
      <c r="AH37" s="27" t="s">
        <v>631</v>
      </c>
    </row>
    <row r="38" spans="1:34" ht="33.75" x14ac:dyDescent="0.2">
      <c r="A38" s="28" t="s">
        <v>994</v>
      </c>
      <c r="B38" s="31" t="s">
        <v>624</v>
      </c>
      <c r="C38" s="26" t="s">
        <v>28</v>
      </c>
      <c r="D38" s="26" t="s">
        <v>200</v>
      </c>
      <c r="E38" s="29" t="s">
        <v>455</v>
      </c>
      <c r="F38" s="28" t="s">
        <v>456</v>
      </c>
      <c r="G38" s="26" t="s">
        <v>24</v>
      </c>
      <c r="H38" s="26" t="s">
        <v>889</v>
      </c>
      <c r="I38" s="32">
        <f>(Metodologia[[#This Row],[Visites]]*0.15)/MAX(Metodologia[Visites])</f>
        <v>1.0151375195581278E-3</v>
      </c>
      <c r="J38" s="26" t="s">
        <v>578</v>
      </c>
      <c r="K38" s="28" t="s">
        <v>620</v>
      </c>
      <c r="L38" s="28" t="s">
        <v>621</v>
      </c>
      <c r="M38" s="28" t="s">
        <v>621</v>
      </c>
      <c r="N38" s="26" t="s">
        <v>632</v>
      </c>
      <c r="O38" s="47">
        <v>2872</v>
      </c>
      <c r="P38" s="26"/>
      <c r="Q38" s="26" t="s">
        <v>54</v>
      </c>
      <c r="R38" s="26"/>
      <c r="S38" s="26" t="s">
        <v>457</v>
      </c>
      <c r="T38" s="26"/>
      <c r="U38" s="26"/>
      <c r="V38" s="26" t="s">
        <v>458</v>
      </c>
      <c r="W38" s="28" t="s">
        <v>620</v>
      </c>
      <c r="X38" s="28" t="s">
        <v>620</v>
      </c>
      <c r="Y38" s="28" t="s">
        <v>620</v>
      </c>
      <c r="Z38" s="28" t="s">
        <v>620</v>
      </c>
      <c r="AA38" s="28" t="s">
        <v>620</v>
      </c>
      <c r="AB38" s="28" t="s">
        <v>620</v>
      </c>
      <c r="AC38" s="28" t="s">
        <v>620</v>
      </c>
      <c r="AD38" s="28" t="s">
        <v>620</v>
      </c>
      <c r="AE38" s="27" t="s">
        <v>739</v>
      </c>
      <c r="AF38" s="27" t="s">
        <v>740</v>
      </c>
      <c r="AG38" s="27" t="s">
        <v>669</v>
      </c>
      <c r="AH38" s="27" t="s">
        <v>631</v>
      </c>
    </row>
    <row r="39" spans="1:34" ht="33.75" x14ac:dyDescent="0.2">
      <c r="A39" s="28" t="s">
        <v>1098</v>
      </c>
      <c r="B39" s="31" t="s">
        <v>626</v>
      </c>
      <c r="C39" s="26" t="s">
        <v>28</v>
      </c>
      <c r="D39" s="26" t="s">
        <v>1104</v>
      </c>
      <c r="E39" s="29" t="s">
        <v>1110</v>
      </c>
      <c r="F39" s="28" t="s">
        <v>1111</v>
      </c>
      <c r="G39" s="26" t="s">
        <v>24</v>
      </c>
      <c r="H39" s="26"/>
      <c r="I39" s="32">
        <f>(Metodologia[[#This Row],[Visites]]*0.15)/MAX(Metodologia[Visites])</f>
        <v>0</v>
      </c>
      <c r="J39" s="26"/>
      <c r="K39" s="28" t="s">
        <v>621</v>
      </c>
      <c r="L39" s="28" t="s">
        <v>621</v>
      </c>
      <c r="M39" s="28" t="s">
        <v>621</v>
      </c>
      <c r="N39" s="26" t="s">
        <v>632</v>
      </c>
      <c r="O39" s="47">
        <v>0</v>
      </c>
      <c r="P39" s="26"/>
      <c r="Q39" s="26" t="s">
        <v>54</v>
      </c>
      <c r="R39" s="26"/>
      <c r="S39" s="26"/>
      <c r="T39" s="26"/>
      <c r="U39" s="26" t="s">
        <v>33</v>
      </c>
      <c r="V39" s="26" t="s">
        <v>1197</v>
      </c>
      <c r="W39" s="28" t="s">
        <v>620</v>
      </c>
      <c r="X39" s="28" t="s">
        <v>1227</v>
      </c>
      <c r="Y39" s="28" t="s">
        <v>1227</v>
      </c>
      <c r="Z39" s="28" t="s">
        <v>1227</v>
      </c>
      <c r="AA39" s="28" t="s">
        <v>1227</v>
      </c>
      <c r="AB39" s="28" t="s">
        <v>1227</v>
      </c>
      <c r="AC39" s="28" t="s">
        <v>1227</v>
      </c>
      <c r="AD39" s="28" t="s">
        <v>1227</v>
      </c>
      <c r="AE39" s="27"/>
      <c r="AF39" s="27"/>
      <c r="AG39" s="27"/>
      <c r="AH39" s="27"/>
    </row>
    <row r="40" spans="1:34" ht="45" x14ac:dyDescent="0.2">
      <c r="A40" s="28" t="s">
        <v>1099</v>
      </c>
      <c r="B40" s="31" t="s">
        <v>622</v>
      </c>
      <c r="C40" s="26" t="s">
        <v>28</v>
      </c>
      <c r="D40" s="26" t="s">
        <v>1104</v>
      </c>
      <c r="E40" s="29" t="s">
        <v>1112</v>
      </c>
      <c r="F40" s="28" t="s">
        <v>1113</v>
      </c>
      <c r="G40" s="26" t="s">
        <v>20</v>
      </c>
      <c r="H40" s="26"/>
      <c r="I40" s="32">
        <f>(Metodologia[[#This Row],[Visites]]*0.15)/MAX(Metodologia[Visites])</f>
        <v>0</v>
      </c>
      <c r="J40" s="26"/>
      <c r="K40" s="28" t="s">
        <v>621</v>
      </c>
      <c r="L40" s="28" t="s">
        <v>620</v>
      </c>
      <c r="M40" s="28" t="s">
        <v>621</v>
      </c>
      <c r="N40" s="26" t="s">
        <v>632</v>
      </c>
      <c r="O40" s="47">
        <v>0</v>
      </c>
      <c r="P40" s="26" t="s">
        <v>1125</v>
      </c>
      <c r="Q40" s="26" t="s">
        <v>54</v>
      </c>
      <c r="R40" s="26"/>
      <c r="S40" s="26"/>
      <c r="T40" s="26"/>
      <c r="U40" s="26" t="s">
        <v>1198</v>
      </c>
      <c r="V40" s="26" t="s">
        <v>1199</v>
      </c>
      <c r="W40" s="28" t="s">
        <v>620</v>
      </c>
      <c r="X40" s="28" t="s">
        <v>620</v>
      </c>
      <c r="Y40" s="28" t="s">
        <v>620</v>
      </c>
      <c r="Z40" s="28" t="s">
        <v>620</v>
      </c>
      <c r="AA40" s="28" t="s">
        <v>620</v>
      </c>
      <c r="AB40" s="28" t="s">
        <v>620</v>
      </c>
      <c r="AC40" s="28" t="s">
        <v>620</v>
      </c>
      <c r="AD40" s="28" t="s">
        <v>620</v>
      </c>
      <c r="AE40" s="27"/>
      <c r="AF40" s="27"/>
      <c r="AG40" s="27"/>
      <c r="AH40" s="27"/>
    </row>
    <row r="41" spans="1:34" ht="112.5" x14ac:dyDescent="0.2">
      <c r="A41" s="28" t="s">
        <v>1100</v>
      </c>
      <c r="B41" s="31" t="s">
        <v>626</v>
      </c>
      <c r="C41" s="26" t="s">
        <v>28</v>
      </c>
      <c r="D41" s="26" t="s">
        <v>1104</v>
      </c>
      <c r="E41" s="29" t="s">
        <v>1114</v>
      </c>
      <c r="F41" s="28" t="s">
        <v>1115</v>
      </c>
      <c r="G41" s="26" t="s">
        <v>24</v>
      </c>
      <c r="H41" s="26"/>
      <c r="I41" s="32">
        <f>(Metodologia[[#This Row],[Visites]]*0.15)/MAX(Metodologia[Visites])</f>
        <v>0</v>
      </c>
      <c r="J41" s="26"/>
      <c r="K41" s="28" t="s">
        <v>621</v>
      </c>
      <c r="L41" s="28" t="s">
        <v>621</v>
      </c>
      <c r="M41" s="28" t="s">
        <v>621</v>
      </c>
      <c r="N41" s="26" t="s">
        <v>632</v>
      </c>
      <c r="O41" s="47">
        <v>0</v>
      </c>
      <c r="P41" s="26"/>
      <c r="Q41" s="26" t="s">
        <v>54</v>
      </c>
      <c r="R41" s="26"/>
      <c r="S41" s="26"/>
      <c r="T41" s="26"/>
      <c r="U41" s="26" t="s">
        <v>1200</v>
      </c>
      <c r="V41" s="26" t="s">
        <v>1201</v>
      </c>
      <c r="W41" s="28" t="s">
        <v>620</v>
      </c>
      <c r="X41" s="28" t="s">
        <v>1227</v>
      </c>
      <c r="Y41" s="28" t="s">
        <v>1227</v>
      </c>
      <c r="Z41" s="28" t="s">
        <v>1227</v>
      </c>
      <c r="AA41" s="28" t="s">
        <v>1227</v>
      </c>
      <c r="AB41" s="28" t="s">
        <v>1227</v>
      </c>
      <c r="AC41" s="28" t="s">
        <v>1227</v>
      </c>
      <c r="AD41" s="28" t="s">
        <v>1227</v>
      </c>
      <c r="AE41" s="27"/>
      <c r="AF41" s="27"/>
      <c r="AG41" s="27"/>
      <c r="AH41" s="27"/>
    </row>
    <row r="42" spans="1:34" ht="78.75" x14ac:dyDescent="0.2">
      <c r="A42" s="28" t="s">
        <v>1101</v>
      </c>
      <c r="B42" s="31" t="s">
        <v>622</v>
      </c>
      <c r="C42" s="26" t="s">
        <v>28</v>
      </c>
      <c r="D42" s="26" t="s">
        <v>1104</v>
      </c>
      <c r="E42" s="29" t="s">
        <v>1116</v>
      </c>
      <c r="F42" s="28" t="s">
        <v>1117</v>
      </c>
      <c r="G42" s="26" t="s">
        <v>20</v>
      </c>
      <c r="H42" s="26"/>
      <c r="I42" s="32">
        <f>(Metodologia[[#This Row],[Visites]]*0.15)/MAX(Metodologia[Visites])</f>
        <v>0</v>
      </c>
      <c r="J42" s="26"/>
      <c r="K42" s="28" t="s">
        <v>621</v>
      </c>
      <c r="L42" s="28" t="s">
        <v>620</v>
      </c>
      <c r="M42" s="28" t="s">
        <v>1222</v>
      </c>
      <c r="N42" s="26" t="s">
        <v>632</v>
      </c>
      <c r="O42" s="47">
        <v>0</v>
      </c>
      <c r="P42" s="26" t="s">
        <v>1202</v>
      </c>
      <c r="Q42" s="26" t="s">
        <v>54</v>
      </c>
      <c r="R42" s="26"/>
      <c r="S42" s="26"/>
      <c r="T42" s="26"/>
      <c r="U42" s="26" t="s">
        <v>1203</v>
      </c>
      <c r="V42" s="26" t="s">
        <v>1204</v>
      </c>
      <c r="W42" s="28" t="s">
        <v>620</v>
      </c>
      <c r="X42" s="28" t="s">
        <v>620</v>
      </c>
      <c r="Y42" s="28" t="s">
        <v>620</v>
      </c>
      <c r="Z42" s="28" t="s">
        <v>620</v>
      </c>
      <c r="AA42" s="28" t="s">
        <v>620</v>
      </c>
      <c r="AB42" s="28" t="s">
        <v>620</v>
      </c>
      <c r="AC42" s="28" t="s">
        <v>620</v>
      </c>
      <c r="AD42" s="28" t="s">
        <v>620</v>
      </c>
      <c r="AE42" s="27"/>
      <c r="AF42" s="27"/>
      <c r="AG42" s="27"/>
      <c r="AH42" s="27"/>
    </row>
    <row r="43" spans="1:34" ht="22.5" x14ac:dyDescent="0.2">
      <c r="A43" s="28" t="s">
        <v>1094</v>
      </c>
      <c r="B43" s="31" t="s">
        <v>622</v>
      </c>
      <c r="C43" s="26" t="s">
        <v>28</v>
      </c>
      <c r="D43" s="26" t="s">
        <v>1104</v>
      </c>
      <c r="E43" s="29" t="s">
        <v>454</v>
      </c>
      <c r="F43" s="28" t="s">
        <v>1109</v>
      </c>
      <c r="G43" s="26" t="s">
        <v>96</v>
      </c>
      <c r="H43" s="26" t="s">
        <v>889</v>
      </c>
      <c r="I43" s="32">
        <f>(Metodologia[[#This Row],[Visites]]*0.15)/MAX(Metodologia[Visites])</f>
        <v>4.8777499198823684E-4</v>
      </c>
      <c r="J43" s="26"/>
      <c r="K43" s="28" t="s">
        <v>620</v>
      </c>
      <c r="L43" s="28" t="s">
        <v>621</v>
      </c>
      <c r="M43" s="28" t="s">
        <v>620</v>
      </c>
      <c r="N43" s="26" t="s">
        <v>635</v>
      </c>
      <c r="O43" s="47">
        <v>1380</v>
      </c>
      <c r="P43" s="26" t="s">
        <v>1192</v>
      </c>
      <c r="Q43" s="26" t="s">
        <v>32</v>
      </c>
      <c r="R43" s="26" t="s">
        <v>1193</v>
      </c>
      <c r="S43" s="26"/>
      <c r="T43" s="26"/>
      <c r="U43" s="26"/>
      <c r="V43" s="26" t="s">
        <v>1194</v>
      </c>
      <c r="W43" s="28" t="s">
        <v>620</v>
      </c>
      <c r="X43" s="28" t="s">
        <v>620</v>
      </c>
      <c r="Y43" s="28" t="s">
        <v>620</v>
      </c>
      <c r="Z43" s="28" t="s">
        <v>620</v>
      </c>
      <c r="AA43" s="28" t="s">
        <v>620</v>
      </c>
      <c r="AB43" s="28" t="s">
        <v>620</v>
      </c>
      <c r="AC43" s="28" t="s">
        <v>620</v>
      </c>
      <c r="AD43" s="28" t="s">
        <v>620</v>
      </c>
      <c r="AE43" s="27" t="s">
        <v>715</v>
      </c>
      <c r="AF43" s="27" t="s">
        <v>716</v>
      </c>
      <c r="AG43" s="27" t="s">
        <v>717</v>
      </c>
      <c r="AH43" s="27" t="s">
        <v>633</v>
      </c>
    </row>
    <row r="44" spans="1:34" ht="33.75" x14ac:dyDescent="0.2">
      <c r="A44" s="28" t="s">
        <v>1097</v>
      </c>
      <c r="B44" s="31" t="s">
        <v>622</v>
      </c>
      <c r="C44" s="26" t="s">
        <v>28</v>
      </c>
      <c r="D44" s="26" t="s">
        <v>1104</v>
      </c>
      <c r="E44" s="29" t="s">
        <v>126</v>
      </c>
      <c r="F44" s="28" t="s">
        <v>1109</v>
      </c>
      <c r="G44" s="26" t="s">
        <v>96</v>
      </c>
      <c r="H44" s="26" t="s">
        <v>889</v>
      </c>
      <c r="I44" s="32">
        <f>(Metodologia[[#This Row],[Visites]]*0.15)/MAX(Metodologia[Visites])</f>
        <v>1.5410862065715308E-4</v>
      </c>
      <c r="J44" s="26"/>
      <c r="K44" s="28" t="s">
        <v>620</v>
      </c>
      <c r="L44" s="28" t="s">
        <v>621</v>
      </c>
      <c r="M44" s="28" t="s">
        <v>621</v>
      </c>
      <c r="N44" s="26" t="s">
        <v>632</v>
      </c>
      <c r="O44" s="47">
        <v>436</v>
      </c>
      <c r="P44" s="26" t="s">
        <v>1196</v>
      </c>
      <c r="Q44" s="26" t="s">
        <v>54</v>
      </c>
      <c r="R44" s="26" t="s">
        <v>127</v>
      </c>
      <c r="S44" s="26"/>
      <c r="T44" s="26"/>
      <c r="U44" s="26" t="s">
        <v>128</v>
      </c>
      <c r="V44" s="26" t="s">
        <v>1194</v>
      </c>
      <c r="W44" s="28" t="s">
        <v>620</v>
      </c>
      <c r="X44" s="28" t="s">
        <v>620</v>
      </c>
      <c r="Y44" s="28" t="s">
        <v>620</v>
      </c>
      <c r="Z44" s="28" t="s">
        <v>620</v>
      </c>
      <c r="AA44" s="28" t="s">
        <v>620</v>
      </c>
      <c r="AB44" s="28" t="s">
        <v>620</v>
      </c>
      <c r="AC44" s="28" t="s">
        <v>621</v>
      </c>
      <c r="AD44" s="28" t="s">
        <v>620</v>
      </c>
      <c r="AE44" s="27" t="s">
        <v>715</v>
      </c>
      <c r="AF44" s="27" t="s">
        <v>716</v>
      </c>
      <c r="AG44" s="27" t="s">
        <v>717</v>
      </c>
      <c r="AH44" s="27" t="s">
        <v>633</v>
      </c>
    </row>
    <row r="45" spans="1:34" ht="67.5" x14ac:dyDescent="0.2">
      <c r="A45" s="28" t="s">
        <v>1102</v>
      </c>
      <c r="B45" s="31" t="s">
        <v>626</v>
      </c>
      <c r="C45" s="26" t="s">
        <v>28</v>
      </c>
      <c r="D45" s="26" t="s">
        <v>1104</v>
      </c>
      <c r="E45" s="29" t="s">
        <v>1118</v>
      </c>
      <c r="F45" s="28" t="s">
        <v>1119</v>
      </c>
      <c r="G45" s="26" t="s">
        <v>24</v>
      </c>
      <c r="H45" s="26"/>
      <c r="I45" s="32">
        <f>(Metodologia[[#This Row],[Visites]]*0.15)/MAX(Metodologia[Visites])</f>
        <v>0</v>
      </c>
      <c r="J45" s="26"/>
      <c r="K45" s="28" t="s">
        <v>621</v>
      </c>
      <c r="L45" s="28" t="s">
        <v>621</v>
      </c>
      <c r="M45" s="28" t="s">
        <v>621</v>
      </c>
      <c r="N45" s="26" t="s">
        <v>632</v>
      </c>
      <c r="O45" s="47">
        <v>0</v>
      </c>
      <c r="P45" s="26"/>
      <c r="Q45" s="26" t="s">
        <v>54</v>
      </c>
      <c r="R45" s="26"/>
      <c r="S45" s="26"/>
      <c r="T45" s="26"/>
      <c r="U45" s="26" t="s">
        <v>1205</v>
      </c>
      <c r="V45" s="26" t="s">
        <v>1206</v>
      </c>
      <c r="W45" s="28" t="s">
        <v>620</v>
      </c>
      <c r="X45" s="28" t="s">
        <v>1227</v>
      </c>
      <c r="Y45" s="28" t="s">
        <v>1227</v>
      </c>
      <c r="Z45" s="28" t="s">
        <v>1227</v>
      </c>
      <c r="AA45" s="28" t="s">
        <v>1227</v>
      </c>
      <c r="AB45" s="28" t="s">
        <v>1227</v>
      </c>
      <c r="AC45" s="28" t="s">
        <v>1227</v>
      </c>
      <c r="AD45" s="28" t="s">
        <v>1227</v>
      </c>
      <c r="AE45" s="27"/>
      <c r="AF45" s="27"/>
      <c r="AG45" s="27"/>
      <c r="AH45" s="27"/>
    </row>
    <row r="46" spans="1:34" ht="56.25" x14ac:dyDescent="0.2">
      <c r="A46" s="28" t="s">
        <v>962</v>
      </c>
      <c r="B46" s="31" t="s">
        <v>622</v>
      </c>
      <c r="C46" s="26" t="s">
        <v>28</v>
      </c>
      <c r="D46" s="26" t="s">
        <v>1104</v>
      </c>
      <c r="E46" s="29" t="s">
        <v>124</v>
      </c>
      <c r="F46" s="28" t="s">
        <v>1105</v>
      </c>
      <c r="G46" s="26" t="s">
        <v>20</v>
      </c>
      <c r="H46" s="26" t="s">
        <v>889</v>
      </c>
      <c r="I46" s="32">
        <f>(Metodologia[[#This Row],[Visites]]*0.15)/MAX(Metodologia[Visites])</f>
        <v>2.0133089524384034E-3</v>
      </c>
      <c r="J46" s="26" t="s">
        <v>563</v>
      </c>
      <c r="K46" s="28" t="s">
        <v>620</v>
      </c>
      <c r="L46" s="28" t="s">
        <v>620</v>
      </c>
      <c r="M46" s="28" t="s">
        <v>620</v>
      </c>
      <c r="N46" s="26" t="s">
        <v>632</v>
      </c>
      <c r="O46" s="47">
        <v>5696</v>
      </c>
      <c r="P46" s="26" t="s">
        <v>1125</v>
      </c>
      <c r="Q46" s="26" t="s">
        <v>54</v>
      </c>
      <c r="R46" s="26" t="s">
        <v>125</v>
      </c>
      <c r="S46" s="26"/>
      <c r="T46" s="26"/>
      <c r="U46" s="26" t="s">
        <v>1126</v>
      </c>
      <c r="V46" s="26" t="s">
        <v>1127</v>
      </c>
      <c r="W46" s="28" t="s">
        <v>620</v>
      </c>
      <c r="X46" s="28" t="s">
        <v>620</v>
      </c>
      <c r="Y46" s="28" t="s">
        <v>620</v>
      </c>
      <c r="Z46" s="28" t="s">
        <v>620</v>
      </c>
      <c r="AA46" s="28" t="s">
        <v>620</v>
      </c>
      <c r="AB46" s="28" t="s">
        <v>620</v>
      </c>
      <c r="AC46" s="28" t="s">
        <v>620</v>
      </c>
      <c r="AD46" s="28" t="s">
        <v>620</v>
      </c>
      <c r="AE46" s="27" t="s">
        <v>673</v>
      </c>
      <c r="AF46" s="27" t="s">
        <v>674</v>
      </c>
      <c r="AG46" s="27" t="s">
        <v>675</v>
      </c>
      <c r="AH46" s="27" t="s">
        <v>631</v>
      </c>
    </row>
    <row r="47" spans="1:34" ht="78.75" x14ac:dyDescent="0.2">
      <c r="A47" s="28" t="s">
        <v>1056</v>
      </c>
      <c r="B47" s="31" t="s">
        <v>622</v>
      </c>
      <c r="C47" s="26" t="s">
        <v>2</v>
      </c>
      <c r="D47" s="26" t="s">
        <v>3</v>
      </c>
      <c r="E47" s="29" t="s">
        <v>18</v>
      </c>
      <c r="F47" s="28" t="s">
        <v>19</v>
      </c>
      <c r="G47" s="26" t="s">
        <v>20</v>
      </c>
      <c r="H47" s="26" t="s">
        <v>889</v>
      </c>
      <c r="I47" s="32">
        <f>(Metodologia[[#This Row],[Visites]]*0.15)/MAX(Metodologia[Visites])</f>
        <v>3.4144249439176582E-4</v>
      </c>
      <c r="J47" s="26" t="s">
        <v>607</v>
      </c>
      <c r="K47" s="28" t="s">
        <v>620</v>
      </c>
      <c r="L47" s="28" t="s">
        <v>621</v>
      </c>
      <c r="M47" s="28" t="s">
        <v>621</v>
      </c>
      <c r="N47" s="26" t="s">
        <v>942</v>
      </c>
      <c r="O47" s="47">
        <v>966</v>
      </c>
      <c r="P47" s="26" t="s">
        <v>1181</v>
      </c>
      <c r="Q47" s="26" t="s">
        <v>7</v>
      </c>
      <c r="R47" s="26" t="s">
        <v>8</v>
      </c>
      <c r="S47" s="26"/>
      <c r="T47" s="26" t="s">
        <v>9</v>
      </c>
      <c r="U47" s="26"/>
      <c r="V47" s="26" t="s">
        <v>21</v>
      </c>
      <c r="W47" s="28" t="s">
        <v>620</v>
      </c>
      <c r="X47" s="28" t="s">
        <v>621</v>
      </c>
      <c r="Y47" s="28" t="s">
        <v>621</v>
      </c>
      <c r="Z47" s="28" t="s">
        <v>621</v>
      </c>
      <c r="AA47" s="28" t="s">
        <v>621</v>
      </c>
      <c r="AB47" s="28" t="s">
        <v>621</v>
      </c>
      <c r="AC47" s="28" t="s">
        <v>621</v>
      </c>
      <c r="AD47" s="28" t="s">
        <v>620</v>
      </c>
      <c r="AE47" s="27" t="s">
        <v>813</v>
      </c>
      <c r="AF47" s="27" t="s">
        <v>759</v>
      </c>
      <c r="AG47" s="27" t="s">
        <v>672</v>
      </c>
      <c r="AH47" s="27" t="s">
        <v>631</v>
      </c>
    </row>
    <row r="48" spans="1:34" ht="45" x14ac:dyDescent="0.2">
      <c r="A48" s="28" t="s">
        <v>1057</v>
      </c>
      <c r="B48" s="31" t="s">
        <v>625</v>
      </c>
      <c r="C48" s="26" t="s">
        <v>2</v>
      </c>
      <c r="D48" s="26" t="s">
        <v>3</v>
      </c>
      <c r="E48" s="29" t="s">
        <v>4</v>
      </c>
      <c r="F48" s="28" t="s">
        <v>5</v>
      </c>
      <c r="G48" s="26" t="s">
        <v>6</v>
      </c>
      <c r="H48" s="26" t="s">
        <v>904</v>
      </c>
      <c r="I48" s="32">
        <f>(Metodologia[[#This Row],[Visites]]*0.15)/MAX(Metodologia[Visites])</f>
        <v>1.6860048636115142E-4</v>
      </c>
      <c r="J48" s="26" t="s">
        <v>607</v>
      </c>
      <c r="K48" s="28" t="s">
        <v>620</v>
      </c>
      <c r="L48" s="28" t="s">
        <v>620</v>
      </c>
      <c r="M48" s="28" t="s">
        <v>621</v>
      </c>
      <c r="N48" s="26" t="s">
        <v>632</v>
      </c>
      <c r="O48" s="47">
        <v>477</v>
      </c>
      <c r="P48" s="26"/>
      <c r="Q48" s="26" t="s">
        <v>7</v>
      </c>
      <c r="R48" s="26" t="s">
        <v>8</v>
      </c>
      <c r="S48" s="26" t="s">
        <v>1150</v>
      </c>
      <c r="T48" s="26" t="s">
        <v>9</v>
      </c>
      <c r="U48" s="26"/>
      <c r="V48" s="26" t="s">
        <v>10</v>
      </c>
      <c r="W48" s="28" t="s">
        <v>620</v>
      </c>
      <c r="X48" s="28" t="s">
        <v>621</v>
      </c>
      <c r="Y48" s="28" t="s">
        <v>621</v>
      </c>
      <c r="Z48" s="28" t="s">
        <v>621</v>
      </c>
      <c r="AA48" s="28" t="s">
        <v>621</v>
      </c>
      <c r="AB48" s="28" t="s">
        <v>621</v>
      </c>
      <c r="AC48" s="28" t="s">
        <v>621</v>
      </c>
      <c r="AD48" s="28" t="s">
        <v>620</v>
      </c>
      <c r="AE48" s="27" t="s">
        <v>814</v>
      </c>
      <c r="AF48" s="27" t="s">
        <v>815</v>
      </c>
      <c r="AG48" s="27" t="s">
        <v>710</v>
      </c>
      <c r="AH48" s="27" t="s">
        <v>631</v>
      </c>
    </row>
    <row r="49" spans="1:34" ht="33.75" x14ac:dyDescent="0.2">
      <c r="A49" s="28" t="s">
        <v>1058</v>
      </c>
      <c r="B49" s="31" t="s">
        <v>625</v>
      </c>
      <c r="C49" s="26" t="s">
        <v>2</v>
      </c>
      <c r="D49" s="26" t="s">
        <v>3</v>
      </c>
      <c r="E49" s="29" t="s">
        <v>11</v>
      </c>
      <c r="F49" s="28" t="s">
        <v>5</v>
      </c>
      <c r="G49" s="26" t="s">
        <v>6</v>
      </c>
      <c r="H49" s="26" t="s">
        <v>889</v>
      </c>
      <c r="I49" s="32">
        <f>(Metodologia[[#This Row],[Visites]]*0.15)/MAX(Metodologia[Visites])</f>
        <v>4.2627292778102437E-4</v>
      </c>
      <c r="J49" s="26" t="s">
        <v>607</v>
      </c>
      <c r="K49" s="28" t="s">
        <v>620</v>
      </c>
      <c r="L49" s="28" t="s">
        <v>621</v>
      </c>
      <c r="M49" s="28" t="s">
        <v>621</v>
      </c>
      <c r="N49" s="26" t="s">
        <v>632</v>
      </c>
      <c r="O49" s="47">
        <v>1206</v>
      </c>
      <c r="P49" s="26"/>
      <c r="Q49" s="26" t="s">
        <v>7</v>
      </c>
      <c r="R49" s="26" t="s">
        <v>8</v>
      </c>
      <c r="S49" s="26" t="s">
        <v>1150</v>
      </c>
      <c r="T49" s="26"/>
      <c r="U49" s="26"/>
      <c r="V49" s="26" t="s">
        <v>12</v>
      </c>
      <c r="W49" s="28" t="s">
        <v>620</v>
      </c>
      <c r="X49" s="28" t="s">
        <v>620</v>
      </c>
      <c r="Y49" s="28" t="s">
        <v>620</v>
      </c>
      <c r="Z49" s="28" t="s">
        <v>620</v>
      </c>
      <c r="AA49" s="28" t="s">
        <v>620</v>
      </c>
      <c r="AB49" s="28" t="s">
        <v>620</v>
      </c>
      <c r="AC49" s="28" t="s">
        <v>620</v>
      </c>
      <c r="AD49" s="28" t="s">
        <v>620</v>
      </c>
      <c r="AE49" s="27" t="s">
        <v>816</v>
      </c>
      <c r="AF49" s="27" t="s">
        <v>817</v>
      </c>
      <c r="AG49" s="27" t="s">
        <v>713</v>
      </c>
      <c r="AH49" s="27" t="s">
        <v>631</v>
      </c>
    </row>
    <row r="50" spans="1:34" ht="22.5" x14ac:dyDescent="0.2">
      <c r="A50" s="28" t="s">
        <v>1059</v>
      </c>
      <c r="B50" s="31" t="s">
        <v>624</v>
      </c>
      <c r="C50" s="26" t="s">
        <v>2</v>
      </c>
      <c r="D50" s="26" t="s">
        <v>3</v>
      </c>
      <c r="E50" s="29" t="s">
        <v>504</v>
      </c>
      <c r="F50" s="28" t="s">
        <v>505</v>
      </c>
      <c r="G50" s="26" t="s">
        <v>24</v>
      </c>
      <c r="H50" s="26" t="s">
        <v>889</v>
      </c>
      <c r="I50" s="32">
        <f>(Metodologia[[#This Row],[Visites]]*0.15)/MAX(Metodologia[Visites])</f>
        <v>3.921993703696721E-3</v>
      </c>
      <c r="J50" s="26" t="s">
        <v>607</v>
      </c>
      <c r="K50" s="28" t="s">
        <v>620</v>
      </c>
      <c r="L50" s="28" t="s">
        <v>620</v>
      </c>
      <c r="M50" s="28" t="s">
        <v>621</v>
      </c>
      <c r="N50" s="26" t="s">
        <v>632</v>
      </c>
      <c r="O50" s="47">
        <v>11096</v>
      </c>
      <c r="P50" s="26"/>
      <c r="Q50" s="26" t="s">
        <v>7</v>
      </c>
      <c r="R50" s="26" t="s">
        <v>8</v>
      </c>
      <c r="S50" s="26"/>
      <c r="T50" s="26"/>
      <c r="U50" s="26"/>
      <c r="V50" s="26" t="s">
        <v>506</v>
      </c>
      <c r="W50" s="28" t="s">
        <v>620</v>
      </c>
      <c r="X50" s="28" t="s">
        <v>621</v>
      </c>
      <c r="Y50" s="28" t="s">
        <v>621</v>
      </c>
      <c r="Z50" s="28" t="s">
        <v>621</v>
      </c>
      <c r="AA50" s="28" t="s">
        <v>621</v>
      </c>
      <c r="AB50" s="28" t="s">
        <v>621</v>
      </c>
      <c r="AC50" s="28" t="s">
        <v>621</v>
      </c>
      <c r="AD50" s="28" t="s">
        <v>620</v>
      </c>
      <c r="AE50" s="27" t="s">
        <v>818</v>
      </c>
      <c r="AF50" s="27" t="s">
        <v>819</v>
      </c>
      <c r="AG50" s="27" t="s">
        <v>669</v>
      </c>
      <c r="AH50" s="27" t="s">
        <v>631</v>
      </c>
    </row>
    <row r="51" spans="1:34" ht="33.75" x14ac:dyDescent="0.2">
      <c r="A51" s="28" t="s">
        <v>1060</v>
      </c>
      <c r="B51" s="31" t="s">
        <v>622</v>
      </c>
      <c r="C51" s="26" t="s">
        <v>2</v>
      </c>
      <c r="D51" s="26" t="s">
        <v>3</v>
      </c>
      <c r="E51" s="29" t="s">
        <v>546</v>
      </c>
      <c r="F51" s="28" t="s">
        <v>547</v>
      </c>
      <c r="G51" s="26" t="s">
        <v>96</v>
      </c>
      <c r="H51" s="26" t="s">
        <v>889</v>
      </c>
      <c r="I51" s="32">
        <f>(Metodologia[[#This Row],[Visites]]*0.15)/MAX(Metodologia[Visites])</f>
        <v>5.2770184930344785E-2</v>
      </c>
      <c r="J51" s="26" t="s">
        <v>604</v>
      </c>
      <c r="K51" s="28" t="s">
        <v>620</v>
      </c>
      <c r="L51" s="28" t="s">
        <v>620</v>
      </c>
      <c r="M51" s="28" t="s">
        <v>621</v>
      </c>
      <c r="N51" s="26" t="s">
        <v>632</v>
      </c>
      <c r="O51" s="47">
        <v>149296</v>
      </c>
      <c r="P51" s="26" t="s">
        <v>1182</v>
      </c>
      <c r="Q51" s="26" t="s">
        <v>32</v>
      </c>
      <c r="R51" s="26" t="s">
        <v>548</v>
      </c>
      <c r="S51" s="26" t="s">
        <v>1183</v>
      </c>
      <c r="T51" s="26"/>
      <c r="U51" s="26"/>
      <c r="V51" s="26" t="s">
        <v>549</v>
      </c>
      <c r="W51" s="28" t="s">
        <v>620</v>
      </c>
      <c r="X51" s="28" t="s">
        <v>1227</v>
      </c>
      <c r="Y51" s="28" t="s">
        <v>1227</v>
      </c>
      <c r="Z51" s="28" t="s">
        <v>1227</v>
      </c>
      <c r="AA51" s="28" t="s">
        <v>1227</v>
      </c>
      <c r="AB51" s="28" t="s">
        <v>1227</v>
      </c>
      <c r="AC51" s="28" t="s">
        <v>1227</v>
      </c>
      <c r="AD51" s="28" t="s">
        <v>1227</v>
      </c>
      <c r="AE51" s="27" t="s">
        <v>715</v>
      </c>
      <c r="AF51" s="27" t="s">
        <v>716</v>
      </c>
      <c r="AG51" s="27" t="s">
        <v>717</v>
      </c>
      <c r="AH51" s="27" t="s">
        <v>638</v>
      </c>
    </row>
    <row r="52" spans="1:34" ht="22.5" x14ac:dyDescent="0.2">
      <c r="A52" s="28" t="s">
        <v>1061</v>
      </c>
      <c r="B52" s="31" t="s">
        <v>625</v>
      </c>
      <c r="C52" s="26" t="s">
        <v>2</v>
      </c>
      <c r="D52" s="26" t="s">
        <v>3</v>
      </c>
      <c r="E52" s="29" t="s">
        <v>176</v>
      </c>
      <c r="F52" s="28" t="s">
        <v>177</v>
      </c>
      <c r="G52" s="26" t="s">
        <v>6</v>
      </c>
      <c r="H52" s="26" t="s">
        <v>889</v>
      </c>
      <c r="I52" s="32">
        <f>(Metodologia[[#This Row],[Visites]]*0.15)/MAX(Metodologia[Visites])</f>
        <v>2.1207608347314645E-4</v>
      </c>
      <c r="J52" s="26" t="s">
        <v>608</v>
      </c>
      <c r="K52" s="28" t="s">
        <v>620</v>
      </c>
      <c r="L52" s="28" t="s">
        <v>620</v>
      </c>
      <c r="M52" s="28" t="s">
        <v>621</v>
      </c>
      <c r="N52" s="26" t="s">
        <v>632</v>
      </c>
      <c r="O52" s="47">
        <v>600</v>
      </c>
      <c r="P52" s="26"/>
      <c r="Q52" s="26" t="s">
        <v>7</v>
      </c>
      <c r="R52" s="26" t="s">
        <v>8</v>
      </c>
      <c r="S52" s="26"/>
      <c r="T52" s="26"/>
      <c r="U52" s="26"/>
      <c r="V52" s="26" t="s">
        <v>178</v>
      </c>
      <c r="W52" s="28" t="s">
        <v>620</v>
      </c>
      <c r="X52" s="28" t="s">
        <v>621</v>
      </c>
      <c r="Y52" s="28" t="s">
        <v>621</v>
      </c>
      <c r="Z52" s="28" t="s">
        <v>621</v>
      </c>
      <c r="AA52" s="28" t="s">
        <v>621</v>
      </c>
      <c r="AB52" s="28" t="s">
        <v>621</v>
      </c>
      <c r="AC52" s="28" t="s">
        <v>621</v>
      </c>
      <c r="AD52" s="28" t="s">
        <v>620</v>
      </c>
      <c r="AE52" s="27" t="s">
        <v>820</v>
      </c>
      <c r="AF52" s="27" t="s">
        <v>821</v>
      </c>
      <c r="AG52" s="27" t="s">
        <v>725</v>
      </c>
      <c r="AH52" s="27" t="s">
        <v>631</v>
      </c>
    </row>
    <row r="53" spans="1:34" ht="33.75" x14ac:dyDescent="0.2">
      <c r="A53" s="28" t="s">
        <v>1062</v>
      </c>
      <c r="B53" s="31" t="s">
        <v>625</v>
      </c>
      <c r="C53" s="26" t="s">
        <v>2</v>
      </c>
      <c r="D53" s="26" t="s">
        <v>3</v>
      </c>
      <c r="E53" s="29" t="s">
        <v>13</v>
      </c>
      <c r="F53" s="28" t="s">
        <v>14</v>
      </c>
      <c r="G53" s="26" t="s">
        <v>6</v>
      </c>
      <c r="H53" s="26" t="s">
        <v>889</v>
      </c>
      <c r="I53" s="32">
        <f>(Metodologia[[#This Row],[Visites]]*0.15)/MAX(Metodologia[Visites])</f>
        <v>5.7260542537749539E-4</v>
      </c>
      <c r="J53" s="26" t="s">
        <v>607</v>
      </c>
      <c r="K53" s="28" t="s">
        <v>620</v>
      </c>
      <c r="L53" s="28" t="s">
        <v>620</v>
      </c>
      <c r="M53" s="28" t="s">
        <v>621</v>
      </c>
      <c r="N53" s="26" t="s">
        <v>632</v>
      </c>
      <c r="O53" s="47">
        <v>1620</v>
      </c>
      <c r="P53" s="26"/>
      <c r="Q53" s="26" t="s">
        <v>7</v>
      </c>
      <c r="R53" s="26" t="s">
        <v>15</v>
      </c>
      <c r="S53" s="26"/>
      <c r="T53" s="26" t="s">
        <v>16</v>
      </c>
      <c r="U53" s="26"/>
      <c r="V53" s="26" t="s">
        <v>17</v>
      </c>
      <c r="W53" s="28" t="s">
        <v>620</v>
      </c>
      <c r="X53" s="28" t="s">
        <v>621</v>
      </c>
      <c r="Y53" s="28" t="s">
        <v>621</v>
      </c>
      <c r="Z53" s="28" t="s">
        <v>621</v>
      </c>
      <c r="AA53" s="28" t="s">
        <v>621</v>
      </c>
      <c r="AB53" s="28" t="s">
        <v>621</v>
      </c>
      <c r="AC53" s="28" t="s">
        <v>621</v>
      </c>
      <c r="AD53" s="28" t="s">
        <v>620</v>
      </c>
      <c r="AE53" s="27" t="s">
        <v>822</v>
      </c>
      <c r="AF53" s="27" t="s">
        <v>823</v>
      </c>
      <c r="AG53" s="27" t="s">
        <v>710</v>
      </c>
      <c r="AH53" s="27" t="s">
        <v>631</v>
      </c>
    </row>
    <row r="54" spans="1:34" ht="22.5" x14ac:dyDescent="0.2">
      <c r="A54" s="28" t="s">
        <v>1063</v>
      </c>
      <c r="B54" s="31" t="s">
        <v>624</v>
      </c>
      <c r="C54" s="26" t="s">
        <v>2</v>
      </c>
      <c r="D54" s="26" t="s">
        <v>3</v>
      </c>
      <c r="E54" s="29" t="s">
        <v>22</v>
      </c>
      <c r="F54" s="28" t="s">
        <v>23</v>
      </c>
      <c r="G54" s="26" t="s">
        <v>24</v>
      </c>
      <c r="H54" s="26" t="s">
        <v>889</v>
      </c>
      <c r="I54" s="32">
        <f>(Metodologia[[#This Row],[Visites]]*0.15)/MAX(Metodologia[Visites])</f>
        <v>2.7569890851509042E-4</v>
      </c>
      <c r="J54" s="26" t="s">
        <v>607</v>
      </c>
      <c r="K54" s="28" t="s">
        <v>620</v>
      </c>
      <c r="L54" s="28" t="s">
        <v>621</v>
      </c>
      <c r="M54" s="28" t="s">
        <v>621</v>
      </c>
      <c r="N54" s="26" t="s">
        <v>632</v>
      </c>
      <c r="O54" s="47">
        <v>780</v>
      </c>
      <c r="P54" s="26"/>
      <c r="Q54" s="26" t="s">
        <v>7</v>
      </c>
      <c r="R54" s="26" t="s">
        <v>25</v>
      </c>
      <c r="S54" s="26"/>
      <c r="T54" s="26" t="s">
        <v>26</v>
      </c>
      <c r="U54" s="26"/>
      <c r="V54" s="26" t="s">
        <v>27</v>
      </c>
      <c r="W54" s="28" t="s">
        <v>620</v>
      </c>
      <c r="X54" s="28" t="s">
        <v>621</v>
      </c>
      <c r="Y54" s="28" t="s">
        <v>621</v>
      </c>
      <c r="Z54" s="28" t="s">
        <v>621</v>
      </c>
      <c r="AA54" s="28" t="s">
        <v>621</v>
      </c>
      <c r="AB54" s="28" t="s">
        <v>621</v>
      </c>
      <c r="AC54" s="28" t="s">
        <v>621</v>
      </c>
      <c r="AD54" s="28" t="s">
        <v>620</v>
      </c>
      <c r="AE54" s="27" t="s">
        <v>824</v>
      </c>
      <c r="AF54" s="27" t="s">
        <v>825</v>
      </c>
      <c r="AG54" s="27" t="s">
        <v>669</v>
      </c>
      <c r="AH54" s="27" t="s">
        <v>631</v>
      </c>
    </row>
    <row r="55" spans="1:34" ht="33.75" x14ac:dyDescent="0.2">
      <c r="A55" s="28" t="s">
        <v>1064</v>
      </c>
      <c r="B55" s="31" t="s">
        <v>625</v>
      </c>
      <c r="C55" s="26" t="s">
        <v>2</v>
      </c>
      <c r="D55" s="26" t="s">
        <v>3</v>
      </c>
      <c r="E55" s="29" t="s">
        <v>491</v>
      </c>
      <c r="F55" s="28" t="s">
        <v>492</v>
      </c>
      <c r="G55" s="26" t="s">
        <v>6</v>
      </c>
      <c r="H55" s="26" t="s">
        <v>889</v>
      </c>
      <c r="I55" s="32">
        <f>(Metodologia[[#This Row],[Visites]]*0.15)/MAX(Metodologia[Visites])</f>
        <v>1.5587592135276264E-3</v>
      </c>
      <c r="J55" s="26" t="s">
        <v>607</v>
      </c>
      <c r="K55" s="28" t="s">
        <v>620</v>
      </c>
      <c r="L55" s="28" t="s">
        <v>621</v>
      </c>
      <c r="M55" s="28" t="s">
        <v>621</v>
      </c>
      <c r="N55" s="26" t="s">
        <v>632</v>
      </c>
      <c r="O55" s="47">
        <v>4410</v>
      </c>
      <c r="P55" s="26"/>
      <c r="Q55" s="26" t="s">
        <v>7</v>
      </c>
      <c r="R55" s="26" t="s">
        <v>493</v>
      </c>
      <c r="S55" s="26"/>
      <c r="T55" s="26" t="s">
        <v>494</v>
      </c>
      <c r="U55" s="26"/>
      <c r="V55" s="26" t="s">
        <v>495</v>
      </c>
      <c r="W55" s="28" t="s">
        <v>620</v>
      </c>
      <c r="X55" s="28" t="s">
        <v>620</v>
      </c>
      <c r="Y55" s="28" t="s">
        <v>620</v>
      </c>
      <c r="Z55" s="28" t="s">
        <v>620</v>
      </c>
      <c r="AA55" s="28" t="s">
        <v>620</v>
      </c>
      <c r="AB55" s="28" t="s">
        <v>620</v>
      </c>
      <c r="AC55" s="28" t="s">
        <v>620</v>
      </c>
      <c r="AD55" s="28" t="s">
        <v>620</v>
      </c>
      <c r="AE55" s="27" t="s">
        <v>826</v>
      </c>
      <c r="AF55" s="27" t="s">
        <v>827</v>
      </c>
      <c r="AG55" s="27" t="s">
        <v>710</v>
      </c>
      <c r="AH55" s="27" t="s">
        <v>631</v>
      </c>
    </row>
    <row r="56" spans="1:34" ht="33.75" x14ac:dyDescent="0.2">
      <c r="A56" s="28" t="s">
        <v>1065</v>
      </c>
      <c r="B56" s="31" t="s">
        <v>622</v>
      </c>
      <c r="C56" s="26" t="s">
        <v>2</v>
      </c>
      <c r="D56" s="26" t="s">
        <v>3</v>
      </c>
      <c r="E56" s="29" t="s">
        <v>205</v>
      </c>
      <c r="F56" s="28" t="s">
        <v>206</v>
      </c>
      <c r="G56" s="26" t="s">
        <v>96</v>
      </c>
      <c r="H56" s="26" t="s">
        <v>889</v>
      </c>
      <c r="I56" s="32">
        <f>(Metodologia[[#This Row],[Visites]]*0.15)/MAX(Metodologia[Visites])</f>
        <v>5.0650837936169811E-4</v>
      </c>
      <c r="J56" s="26" t="s">
        <v>609</v>
      </c>
      <c r="K56" s="28" t="s">
        <v>620</v>
      </c>
      <c r="L56" s="28" t="s">
        <v>621</v>
      </c>
      <c r="M56" s="28" t="s">
        <v>621</v>
      </c>
      <c r="N56" s="26" t="s">
        <v>632</v>
      </c>
      <c r="O56" s="47">
        <v>1433</v>
      </c>
      <c r="P56" s="26" t="s">
        <v>1184</v>
      </c>
      <c r="Q56" s="26" t="s">
        <v>7</v>
      </c>
      <c r="R56" s="26" t="s">
        <v>207</v>
      </c>
      <c r="S56" s="26"/>
      <c r="T56" s="26" t="s">
        <v>208</v>
      </c>
      <c r="U56" s="26"/>
      <c r="V56" s="26" t="s">
        <v>209</v>
      </c>
      <c r="W56" s="28" t="s">
        <v>620</v>
      </c>
      <c r="X56" s="28" t="s">
        <v>620</v>
      </c>
      <c r="Y56" s="28" t="s">
        <v>620</v>
      </c>
      <c r="Z56" s="28" t="s">
        <v>620</v>
      </c>
      <c r="AA56" s="28" t="s">
        <v>620</v>
      </c>
      <c r="AB56" s="28" t="s">
        <v>620</v>
      </c>
      <c r="AC56" s="28" t="s">
        <v>620</v>
      </c>
      <c r="AD56" s="28" t="s">
        <v>620</v>
      </c>
      <c r="AE56" s="27" t="s">
        <v>715</v>
      </c>
      <c r="AF56" s="27" t="s">
        <v>716</v>
      </c>
      <c r="AG56" s="27" t="s">
        <v>717</v>
      </c>
      <c r="AH56" s="27" t="s">
        <v>638</v>
      </c>
    </row>
    <row r="57" spans="1:34" ht="45" x14ac:dyDescent="0.2">
      <c r="A57" s="28" t="s">
        <v>1066</v>
      </c>
      <c r="B57" s="31" t="s">
        <v>626</v>
      </c>
      <c r="C57" s="26" t="s">
        <v>2</v>
      </c>
      <c r="D57" s="26" t="s">
        <v>3</v>
      </c>
      <c r="E57" s="29" t="s">
        <v>369</v>
      </c>
      <c r="F57" s="28" t="s">
        <v>370</v>
      </c>
      <c r="G57" s="26" t="s">
        <v>6</v>
      </c>
      <c r="H57" s="26"/>
      <c r="I57" s="32">
        <f>(Metodologia[[#This Row],[Visites]]*0.15)/MAX(Metodologia[Visites])</f>
        <v>7.4155937187776874E-4</v>
      </c>
      <c r="J57" s="26"/>
      <c r="K57" s="28" t="s">
        <v>621</v>
      </c>
      <c r="L57" s="28" t="s">
        <v>620</v>
      </c>
      <c r="M57" s="28" t="s">
        <v>621</v>
      </c>
      <c r="N57" s="26" t="s">
        <v>632</v>
      </c>
      <c r="O57" s="47">
        <v>2098</v>
      </c>
      <c r="P57" s="26"/>
      <c r="Q57" s="26" t="s">
        <v>7</v>
      </c>
      <c r="R57" s="26"/>
      <c r="S57" s="26"/>
      <c r="T57" s="26"/>
      <c r="U57" s="26" t="s">
        <v>371</v>
      </c>
      <c r="V57" s="26" t="s">
        <v>372</v>
      </c>
      <c r="W57" s="28" t="s">
        <v>620</v>
      </c>
      <c r="X57" s="28" t="s">
        <v>621</v>
      </c>
      <c r="Y57" s="28" t="s">
        <v>621</v>
      </c>
      <c r="Z57" s="28" t="s">
        <v>621</v>
      </c>
      <c r="AA57" s="28" t="s">
        <v>621</v>
      </c>
      <c r="AB57" s="28" t="s">
        <v>621</v>
      </c>
      <c r="AC57" s="28" t="s">
        <v>621</v>
      </c>
      <c r="AD57" s="28" t="s">
        <v>621</v>
      </c>
      <c r="AE57" s="27" t="s">
        <v>828</v>
      </c>
      <c r="AF57" s="27" t="s">
        <v>829</v>
      </c>
      <c r="AG57" s="27" t="s">
        <v>830</v>
      </c>
      <c r="AH57" s="27" t="s">
        <v>646</v>
      </c>
    </row>
    <row r="58" spans="1:34" ht="33.75" x14ac:dyDescent="0.2">
      <c r="A58" s="28" t="s">
        <v>1067</v>
      </c>
      <c r="B58" s="31" t="s">
        <v>626</v>
      </c>
      <c r="C58" s="26" t="s">
        <v>2</v>
      </c>
      <c r="D58" s="26" t="s">
        <v>3</v>
      </c>
      <c r="E58" s="29" t="s">
        <v>376</v>
      </c>
      <c r="F58" s="28" t="s">
        <v>377</v>
      </c>
      <c r="G58" s="26" t="s">
        <v>6</v>
      </c>
      <c r="H58" s="26"/>
      <c r="I58" s="32">
        <f>(Metodologia[[#This Row],[Visites]]*0.15)/MAX(Metodologia[Visites])</f>
        <v>1.0791138047391935E-3</v>
      </c>
      <c r="J58" s="26"/>
      <c r="K58" s="28" t="s">
        <v>621</v>
      </c>
      <c r="L58" s="28" t="s">
        <v>620</v>
      </c>
      <c r="M58" s="28" t="s">
        <v>621</v>
      </c>
      <c r="N58" s="26" t="s">
        <v>632</v>
      </c>
      <c r="O58" s="47">
        <v>3053</v>
      </c>
      <c r="P58" s="26"/>
      <c r="Q58" s="26" t="s">
        <v>7</v>
      </c>
      <c r="R58" s="26"/>
      <c r="S58" s="26"/>
      <c r="T58" s="26"/>
      <c r="U58" s="26" t="s">
        <v>33</v>
      </c>
      <c r="V58" s="26" t="s">
        <v>378</v>
      </c>
      <c r="W58" s="28" t="s">
        <v>620</v>
      </c>
      <c r="X58" s="28" t="s">
        <v>621</v>
      </c>
      <c r="Y58" s="28" t="s">
        <v>621</v>
      </c>
      <c r="Z58" s="28" t="s">
        <v>621</v>
      </c>
      <c r="AA58" s="28" t="s">
        <v>621</v>
      </c>
      <c r="AB58" s="28" t="s">
        <v>621</v>
      </c>
      <c r="AC58" s="28" t="s">
        <v>621</v>
      </c>
      <c r="AD58" s="28" t="s">
        <v>621</v>
      </c>
      <c r="AE58" s="27" t="s">
        <v>831</v>
      </c>
      <c r="AF58" s="27" t="s">
        <v>832</v>
      </c>
      <c r="AG58" s="27" t="s">
        <v>713</v>
      </c>
      <c r="AH58" s="27" t="s">
        <v>646</v>
      </c>
    </row>
    <row r="59" spans="1:34" ht="33.75" x14ac:dyDescent="0.2">
      <c r="A59" s="28" t="s">
        <v>1068</v>
      </c>
      <c r="B59" s="31" t="s">
        <v>624</v>
      </c>
      <c r="C59" s="26" t="s">
        <v>2</v>
      </c>
      <c r="D59" s="26" t="s">
        <v>3</v>
      </c>
      <c r="E59" s="29" t="s">
        <v>610</v>
      </c>
      <c r="F59" s="28" t="s">
        <v>496</v>
      </c>
      <c r="G59" s="26" t="s">
        <v>24</v>
      </c>
      <c r="H59" s="26" t="s">
        <v>889</v>
      </c>
      <c r="I59" s="32">
        <f>(Metodologia[[#This Row],[Visites]]*0.15)/MAX(Metodologia[Visites])</f>
        <v>1.1144598186513847E-3</v>
      </c>
      <c r="J59" s="26"/>
      <c r="K59" s="28" t="s">
        <v>620</v>
      </c>
      <c r="L59" s="28" t="s">
        <v>620</v>
      </c>
      <c r="M59" s="28" t="s">
        <v>621</v>
      </c>
      <c r="N59" s="26" t="s">
        <v>632</v>
      </c>
      <c r="O59" s="47">
        <v>3153</v>
      </c>
      <c r="P59" s="26"/>
      <c r="Q59" s="26" t="s">
        <v>7</v>
      </c>
      <c r="R59" s="26"/>
      <c r="S59" s="26" t="s">
        <v>497</v>
      </c>
      <c r="T59" s="26"/>
      <c r="U59" s="26"/>
      <c r="V59" s="26" t="s">
        <v>498</v>
      </c>
      <c r="W59" s="28" t="s">
        <v>620</v>
      </c>
      <c r="X59" s="28" t="s">
        <v>620</v>
      </c>
      <c r="Y59" s="28" t="s">
        <v>620</v>
      </c>
      <c r="Z59" s="28" t="s">
        <v>620</v>
      </c>
      <c r="AA59" s="28" t="s">
        <v>620</v>
      </c>
      <c r="AB59" s="28" t="s">
        <v>620</v>
      </c>
      <c r="AC59" s="28" t="s">
        <v>620</v>
      </c>
      <c r="AD59" s="28" t="s">
        <v>620</v>
      </c>
      <c r="AE59" s="27" t="s">
        <v>833</v>
      </c>
      <c r="AF59" s="27" t="s">
        <v>834</v>
      </c>
      <c r="AG59" s="27" t="s">
        <v>669</v>
      </c>
      <c r="AH59" s="27" t="s">
        <v>631</v>
      </c>
    </row>
    <row r="60" spans="1:34" ht="180" x14ac:dyDescent="0.2">
      <c r="A60" s="28" t="s">
        <v>1069</v>
      </c>
      <c r="B60" s="31" t="s">
        <v>622</v>
      </c>
      <c r="C60" s="26" t="s">
        <v>2</v>
      </c>
      <c r="D60" s="26" t="s">
        <v>75</v>
      </c>
      <c r="E60" s="29" t="s">
        <v>230</v>
      </c>
      <c r="F60" s="28" t="s">
        <v>231</v>
      </c>
      <c r="G60" s="26" t="s">
        <v>20</v>
      </c>
      <c r="H60" s="26" t="s">
        <v>905</v>
      </c>
      <c r="I60" s="32">
        <f>(Metodologia[[#This Row],[Visites]]*0.15)/MAX(Metodologia[Visites])</f>
        <v>1.1738411220238655E-3</v>
      </c>
      <c r="J60" s="26" t="s">
        <v>611</v>
      </c>
      <c r="K60" s="28" t="s">
        <v>620</v>
      </c>
      <c r="L60" s="28" t="s">
        <v>620</v>
      </c>
      <c r="M60" s="28" t="s">
        <v>621</v>
      </c>
      <c r="N60" s="26" t="s">
        <v>632</v>
      </c>
      <c r="O60" s="47">
        <v>3321</v>
      </c>
      <c r="P60" s="26" t="s">
        <v>1137</v>
      </c>
      <c r="Q60" s="26" t="s">
        <v>54</v>
      </c>
      <c r="R60" s="26" t="s">
        <v>8</v>
      </c>
      <c r="S60" s="26" t="s">
        <v>1121</v>
      </c>
      <c r="T60" s="26"/>
      <c r="U60" s="26"/>
      <c r="V60" s="26" t="s">
        <v>232</v>
      </c>
      <c r="W60" s="28" t="s">
        <v>620</v>
      </c>
      <c r="X60" s="28" t="s">
        <v>620</v>
      </c>
      <c r="Y60" s="28" t="s">
        <v>620</v>
      </c>
      <c r="Z60" s="28" t="s">
        <v>620</v>
      </c>
      <c r="AA60" s="28" t="s">
        <v>620</v>
      </c>
      <c r="AB60" s="28" t="s">
        <v>620</v>
      </c>
      <c r="AC60" s="28" t="s">
        <v>620</v>
      </c>
      <c r="AD60" s="28" t="s">
        <v>620</v>
      </c>
      <c r="AE60" s="27" t="s">
        <v>670</v>
      </c>
      <c r="AF60" s="27" t="s">
        <v>692</v>
      </c>
      <c r="AG60" s="27" t="s">
        <v>672</v>
      </c>
      <c r="AH60" s="27" t="s">
        <v>631</v>
      </c>
    </row>
    <row r="61" spans="1:34" ht="22.5" x14ac:dyDescent="0.2">
      <c r="A61" s="28" t="s">
        <v>1070</v>
      </c>
      <c r="B61" s="31" t="s">
        <v>622</v>
      </c>
      <c r="C61" s="26" t="s">
        <v>2</v>
      </c>
      <c r="D61" s="26" t="s">
        <v>75</v>
      </c>
      <c r="E61" s="29" t="s">
        <v>382</v>
      </c>
      <c r="F61" s="28" t="s">
        <v>383</v>
      </c>
      <c r="G61" s="26" t="s">
        <v>20</v>
      </c>
      <c r="H61" s="26" t="s">
        <v>889</v>
      </c>
      <c r="I61" s="32">
        <f>(Metodologia[[#This Row],[Visites]]*0.15)/MAX(Metodologia[Visites])</f>
        <v>2.7418256451825739E-2</v>
      </c>
      <c r="J61" s="26" t="s">
        <v>612</v>
      </c>
      <c r="K61" s="28" t="s">
        <v>620</v>
      </c>
      <c r="L61" s="28" t="s">
        <v>621</v>
      </c>
      <c r="M61" s="28" t="s">
        <v>620</v>
      </c>
      <c r="N61" s="26" t="s">
        <v>632</v>
      </c>
      <c r="O61" s="47">
        <v>77571</v>
      </c>
      <c r="P61" s="26" t="s">
        <v>1137</v>
      </c>
      <c r="Q61" s="26" t="s">
        <v>7</v>
      </c>
      <c r="R61" s="26" t="s">
        <v>8</v>
      </c>
      <c r="S61" s="26" t="s">
        <v>1185</v>
      </c>
      <c r="T61" s="26"/>
      <c r="U61" s="26"/>
      <c r="V61" s="26" t="s">
        <v>384</v>
      </c>
      <c r="W61" s="28" t="s">
        <v>620</v>
      </c>
      <c r="X61" s="28" t="s">
        <v>621</v>
      </c>
      <c r="Y61" s="28" t="s">
        <v>621</v>
      </c>
      <c r="Z61" s="28" t="s">
        <v>621</v>
      </c>
      <c r="AA61" s="28" t="s">
        <v>621</v>
      </c>
      <c r="AB61" s="28" t="s">
        <v>621</v>
      </c>
      <c r="AC61" s="28" t="s">
        <v>621</v>
      </c>
      <c r="AD61" s="28" t="s">
        <v>620</v>
      </c>
      <c r="AE61" s="27" t="s">
        <v>688</v>
      </c>
      <c r="AF61" s="27" t="s">
        <v>835</v>
      </c>
      <c r="AG61" s="27" t="s">
        <v>672</v>
      </c>
      <c r="AH61" s="27" t="s">
        <v>631</v>
      </c>
    </row>
    <row r="62" spans="1:34" ht="22.5" x14ac:dyDescent="0.2">
      <c r="A62" s="28" t="s">
        <v>1071</v>
      </c>
      <c r="B62" s="31" t="s">
        <v>622</v>
      </c>
      <c r="C62" s="26" t="s">
        <v>2</v>
      </c>
      <c r="D62" s="26" t="s">
        <v>75</v>
      </c>
      <c r="E62" s="29" t="s">
        <v>379</v>
      </c>
      <c r="F62" s="28" t="s">
        <v>380</v>
      </c>
      <c r="G62" s="26" t="s">
        <v>20</v>
      </c>
      <c r="H62" s="26" t="s">
        <v>889</v>
      </c>
      <c r="I62" s="32">
        <f>(Metodologia[[#This Row],[Visites]]*0.15)/MAX(Metodologia[Visites])</f>
        <v>2.6388980526702736E-2</v>
      </c>
      <c r="J62" s="26" t="s">
        <v>613</v>
      </c>
      <c r="K62" s="28" t="s">
        <v>620</v>
      </c>
      <c r="L62" s="28" t="s">
        <v>621</v>
      </c>
      <c r="M62" s="28" t="s">
        <v>621</v>
      </c>
      <c r="N62" s="26" t="s">
        <v>632</v>
      </c>
      <c r="O62" s="47">
        <v>74659</v>
      </c>
      <c r="P62" s="26" t="s">
        <v>1137</v>
      </c>
      <c r="Q62" s="26" t="s">
        <v>54</v>
      </c>
      <c r="R62" s="26" t="s">
        <v>8</v>
      </c>
      <c r="S62" s="26" t="s">
        <v>1185</v>
      </c>
      <c r="T62" s="26"/>
      <c r="U62" s="26"/>
      <c r="V62" s="26" t="s">
        <v>381</v>
      </c>
      <c r="W62" s="28" t="s">
        <v>620</v>
      </c>
      <c r="X62" s="28" t="s">
        <v>621</v>
      </c>
      <c r="Y62" s="28" t="s">
        <v>621</v>
      </c>
      <c r="Z62" s="28" t="s">
        <v>621</v>
      </c>
      <c r="AA62" s="28" t="s">
        <v>621</v>
      </c>
      <c r="AB62" s="28" t="s">
        <v>621</v>
      </c>
      <c r="AC62" s="28" t="s">
        <v>621</v>
      </c>
      <c r="AD62" s="28" t="s">
        <v>620</v>
      </c>
      <c r="AE62" s="27" t="s">
        <v>688</v>
      </c>
      <c r="AF62" s="27" t="s">
        <v>835</v>
      </c>
      <c r="AG62" s="27" t="s">
        <v>672</v>
      </c>
      <c r="AH62" s="27" t="s">
        <v>631</v>
      </c>
    </row>
    <row r="63" spans="1:34" ht="45" x14ac:dyDescent="0.2">
      <c r="A63" s="28" t="s">
        <v>1072</v>
      </c>
      <c r="B63" s="31" t="s">
        <v>622</v>
      </c>
      <c r="C63" s="26" t="s">
        <v>2</v>
      </c>
      <c r="D63" s="26" t="s">
        <v>75</v>
      </c>
      <c r="E63" s="29" t="s">
        <v>435</v>
      </c>
      <c r="F63" s="28" t="s">
        <v>436</v>
      </c>
      <c r="G63" s="26" t="s">
        <v>20</v>
      </c>
      <c r="H63" s="26" t="s">
        <v>906</v>
      </c>
      <c r="I63" s="32">
        <f>(Metodologia[[#This Row],[Visites]]*0.15)/MAX(Metodologia[Visites])</f>
        <v>4.4147171376326651E-4</v>
      </c>
      <c r="J63" s="26"/>
      <c r="K63" s="28" t="s">
        <v>620</v>
      </c>
      <c r="L63" s="28" t="s">
        <v>620</v>
      </c>
      <c r="M63" s="28" t="s">
        <v>620</v>
      </c>
      <c r="N63" s="26" t="s">
        <v>632</v>
      </c>
      <c r="O63" s="47">
        <v>1249</v>
      </c>
      <c r="P63" s="26" t="s">
        <v>1137</v>
      </c>
      <c r="Q63" s="26" t="s">
        <v>54</v>
      </c>
      <c r="R63" s="26" t="s">
        <v>8</v>
      </c>
      <c r="S63" s="26"/>
      <c r="T63" s="26"/>
      <c r="U63" s="26"/>
      <c r="V63" s="26" t="s">
        <v>437</v>
      </c>
      <c r="W63" s="28" t="s">
        <v>620</v>
      </c>
      <c r="X63" s="28" t="s">
        <v>620</v>
      </c>
      <c r="Y63" s="28" t="s">
        <v>620</v>
      </c>
      <c r="Z63" s="28" t="s">
        <v>621</v>
      </c>
      <c r="AA63" s="28" t="s">
        <v>621</v>
      </c>
      <c r="AB63" s="28" t="s">
        <v>620</v>
      </c>
      <c r="AC63" s="28" t="s">
        <v>621</v>
      </c>
      <c r="AD63" s="28" t="s">
        <v>620</v>
      </c>
      <c r="AE63" s="27" t="s">
        <v>688</v>
      </c>
      <c r="AF63" s="27" t="s">
        <v>835</v>
      </c>
      <c r="AG63" s="27" t="s">
        <v>672</v>
      </c>
      <c r="AH63" s="27" t="s">
        <v>631</v>
      </c>
    </row>
    <row r="64" spans="1:34" ht="45" x14ac:dyDescent="0.2">
      <c r="A64" s="28" t="s">
        <v>1075</v>
      </c>
      <c r="B64" s="31" t="s">
        <v>623</v>
      </c>
      <c r="C64" s="26" t="s">
        <v>2</v>
      </c>
      <c r="D64" s="26" t="s">
        <v>75</v>
      </c>
      <c r="E64" s="29" t="s">
        <v>210</v>
      </c>
      <c r="F64" s="28" t="s">
        <v>211</v>
      </c>
      <c r="G64" s="26" t="s">
        <v>6</v>
      </c>
      <c r="H64" s="26" t="s">
        <v>889</v>
      </c>
      <c r="I64" s="32">
        <f>(Metodologia[[#This Row],[Visites]]*0.15)/MAX(Metodologia[Visites])</f>
        <v>5.2524176673515938E-4</v>
      </c>
      <c r="J64" s="26"/>
      <c r="K64" s="28" t="s">
        <v>620</v>
      </c>
      <c r="L64" s="28" t="s">
        <v>621</v>
      </c>
      <c r="M64" s="28" t="s">
        <v>620</v>
      </c>
      <c r="N64" s="26" t="s">
        <v>632</v>
      </c>
      <c r="O64" s="47">
        <v>1486</v>
      </c>
      <c r="P64" s="26"/>
      <c r="Q64" s="26" t="s">
        <v>54</v>
      </c>
      <c r="R64" s="26" t="s">
        <v>212</v>
      </c>
      <c r="S64" s="26" t="s">
        <v>1150</v>
      </c>
      <c r="T64" s="26" t="s">
        <v>213</v>
      </c>
      <c r="U64" s="26"/>
      <c r="V64" s="26" t="s">
        <v>214</v>
      </c>
      <c r="W64" s="28" t="s">
        <v>620</v>
      </c>
      <c r="X64" s="28" t="s">
        <v>620</v>
      </c>
      <c r="Y64" s="28" t="s">
        <v>621</v>
      </c>
      <c r="Z64" s="28" t="s">
        <v>621</v>
      </c>
      <c r="AA64" s="28" t="s">
        <v>621</v>
      </c>
      <c r="AB64" s="28" t="s">
        <v>620</v>
      </c>
      <c r="AC64" s="28" t="s">
        <v>621</v>
      </c>
      <c r="AD64" s="28" t="s">
        <v>620</v>
      </c>
      <c r="AE64" s="27" t="s">
        <v>836</v>
      </c>
      <c r="AF64" s="27" t="s">
        <v>837</v>
      </c>
      <c r="AG64" s="27" t="s">
        <v>838</v>
      </c>
      <c r="AH64" s="27" t="s">
        <v>631</v>
      </c>
    </row>
    <row r="65" spans="1:34" ht="33.75" x14ac:dyDescent="0.2">
      <c r="A65" s="28" t="s">
        <v>1076</v>
      </c>
      <c r="B65" s="31" t="s">
        <v>623</v>
      </c>
      <c r="C65" s="26" t="s">
        <v>2</v>
      </c>
      <c r="D65" s="26" t="s">
        <v>75</v>
      </c>
      <c r="E65" s="29" t="s">
        <v>349</v>
      </c>
      <c r="F65" s="28" t="s">
        <v>350</v>
      </c>
      <c r="G65" s="26" t="s">
        <v>6</v>
      </c>
      <c r="H65" s="26" t="s">
        <v>889</v>
      </c>
      <c r="I65" s="32">
        <f>(Metodologia[[#This Row],[Visites]]*0.15)/MAX(Metodologia[Visites])</f>
        <v>2.3017324259618829E-3</v>
      </c>
      <c r="J65" s="26"/>
      <c r="K65" s="28" t="s">
        <v>620</v>
      </c>
      <c r="L65" s="28" t="s">
        <v>620</v>
      </c>
      <c r="M65" s="28" t="s">
        <v>620</v>
      </c>
      <c r="N65" s="26" t="s">
        <v>632</v>
      </c>
      <c r="O65" s="47">
        <v>6512</v>
      </c>
      <c r="P65" s="26"/>
      <c r="Q65" s="26" t="s">
        <v>32</v>
      </c>
      <c r="R65" s="26" t="s">
        <v>351</v>
      </c>
      <c r="S65" s="26" t="s">
        <v>1186</v>
      </c>
      <c r="T65" s="26" t="s">
        <v>352</v>
      </c>
      <c r="U65" s="26"/>
      <c r="V65" s="26" t="s">
        <v>353</v>
      </c>
      <c r="W65" s="28" t="s">
        <v>620</v>
      </c>
      <c r="X65" s="28" t="s">
        <v>621</v>
      </c>
      <c r="Y65" s="28" t="s">
        <v>621</v>
      </c>
      <c r="Z65" s="28" t="s">
        <v>621</v>
      </c>
      <c r="AA65" s="28" t="s">
        <v>621</v>
      </c>
      <c r="AB65" s="28" t="s">
        <v>621</v>
      </c>
      <c r="AC65" s="28" t="s">
        <v>621</v>
      </c>
      <c r="AD65" s="28" t="s">
        <v>620</v>
      </c>
      <c r="AE65" s="27" t="s">
        <v>839</v>
      </c>
      <c r="AF65" s="27" t="s">
        <v>840</v>
      </c>
      <c r="AG65" s="27" t="s">
        <v>841</v>
      </c>
      <c r="AH65" s="27" t="s">
        <v>631</v>
      </c>
    </row>
    <row r="66" spans="1:34" ht="22.5" x14ac:dyDescent="0.2">
      <c r="A66" s="28" t="s">
        <v>1077</v>
      </c>
      <c r="B66" s="31" t="s">
        <v>625</v>
      </c>
      <c r="C66" s="26" t="s">
        <v>2</v>
      </c>
      <c r="D66" s="26" t="s">
        <v>75</v>
      </c>
      <c r="E66" s="29" t="s">
        <v>76</v>
      </c>
      <c r="F66" s="28" t="s">
        <v>77</v>
      </c>
      <c r="G66" s="26" t="s">
        <v>6</v>
      </c>
      <c r="H66" s="26" t="s">
        <v>889</v>
      </c>
      <c r="I66" s="32">
        <f>(Metodologia[[#This Row],[Visites]]*0.15)/MAX(Metodologia[Visites])</f>
        <v>2.0041189888212339E-4</v>
      </c>
      <c r="J66" s="26"/>
      <c r="K66" s="28" t="s">
        <v>620</v>
      </c>
      <c r="L66" s="28" t="s">
        <v>621</v>
      </c>
      <c r="M66" s="28" t="s">
        <v>621</v>
      </c>
      <c r="N66" s="26" t="s">
        <v>632</v>
      </c>
      <c r="O66" s="47">
        <v>567</v>
      </c>
      <c r="P66" s="26"/>
      <c r="Q66" s="26" t="s">
        <v>7</v>
      </c>
      <c r="R66" s="26" t="s">
        <v>8</v>
      </c>
      <c r="S66" s="26"/>
      <c r="T66" s="26"/>
      <c r="U66" s="26"/>
      <c r="V66" s="26" t="s">
        <v>78</v>
      </c>
      <c r="W66" s="28" t="s">
        <v>620</v>
      </c>
      <c r="X66" s="28" t="s">
        <v>621</v>
      </c>
      <c r="Y66" s="28" t="s">
        <v>621</v>
      </c>
      <c r="Z66" s="28" t="s">
        <v>621</v>
      </c>
      <c r="AA66" s="28" t="s">
        <v>621</v>
      </c>
      <c r="AB66" s="28" t="s">
        <v>621</v>
      </c>
      <c r="AC66" s="28" t="s">
        <v>621</v>
      </c>
      <c r="AD66" s="28" t="s">
        <v>620</v>
      </c>
      <c r="AE66" s="27" t="s">
        <v>842</v>
      </c>
      <c r="AF66" s="27" t="s">
        <v>843</v>
      </c>
      <c r="AG66" s="27" t="s">
        <v>713</v>
      </c>
      <c r="AH66" s="27" t="s">
        <v>631</v>
      </c>
    </row>
    <row r="67" spans="1:34" ht="33.75" x14ac:dyDescent="0.2">
      <c r="A67" s="28" t="s">
        <v>1078</v>
      </c>
      <c r="B67" s="31" t="s">
        <v>623</v>
      </c>
      <c r="C67" s="26" t="s">
        <v>2</v>
      </c>
      <c r="D67" s="26" t="s">
        <v>75</v>
      </c>
      <c r="E67" s="29" t="s">
        <v>422</v>
      </c>
      <c r="F67" s="28" t="s">
        <v>423</v>
      </c>
      <c r="G67" s="26" t="s">
        <v>6</v>
      </c>
      <c r="H67" s="26" t="s">
        <v>889</v>
      </c>
      <c r="I67" s="32">
        <f>(Metodologia[[#This Row],[Visites]]*0.15)/MAX(Metodologia[Visites])</f>
        <v>2.9414952777725412E-3</v>
      </c>
      <c r="J67" s="26"/>
      <c r="K67" s="28" t="s">
        <v>620</v>
      </c>
      <c r="L67" s="28" t="s">
        <v>621</v>
      </c>
      <c r="M67" s="28" t="s">
        <v>620</v>
      </c>
      <c r="N67" s="26" t="s">
        <v>632</v>
      </c>
      <c r="O67" s="47">
        <v>8322</v>
      </c>
      <c r="P67" s="26"/>
      <c r="Q67" s="26" t="s">
        <v>7</v>
      </c>
      <c r="R67" s="26" t="s">
        <v>87</v>
      </c>
      <c r="S67" s="26" t="s">
        <v>1168</v>
      </c>
      <c r="T67" s="26"/>
      <c r="U67" s="26"/>
      <c r="V67" s="26" t="s">
        <v>424</v>
      </c>
      <c r="W67" s="28" t="s">
        <v>620</v>
      </c>
      <c r="X67" s="28" t="s">
        <v>620</v>
      </c>
      <c r="Y67" s="28" t="s">
        <v>620</v>
      </c>
      <c r="Z67" s="28" t="s">
        <v>620</v>
      </c>
      <c r="AA67" s="28" t="s">
        <v>620</v>
      </c>
      <c r="AB67" s="28" t="s">
        <v>620</v>
      </c>
      <c r="AC67" s="28" t="s">
        <v>620</v>
      </c>
      <c r="AD67" s="28" t="s">
        <v>620</v>
      </c>
      <c r="AE67" s="27" t="s">
        <v>844</v>
      </c>
      <c r="AF67" s="27" t="s">
        <v>845</v>
      </c>
      <c r="AG67" s="27" t="s">
        <v>846</v>
      </c>
      <c r="AH67" s="27" t="s">
        <v>631</v>
      </c>
    </row>
    <row r="68" spans="1:34" ht="33.75" x14ac:dyDescent="0.2">
      <c r="A68" s="28" t="s">
        <v>1079</v>
      </c>
      <c r="B68" s="31" t="s">
        <v>626</v>
      </c>
      <c r="C68" s="26" t="s">
        <v>2</v>
      </c>
      <c r="D68" s="26" t="s">
        <v>75</v>
      </c>
      <c r="E68" s="29" t="s">
        <v>415</v>
      </c>
      <c r="F68" s="28" t="s">
        <v>416</v>
      </c>
      <c r="G68" s="26" t="s">
        <v>6</v>
      </c>
      <c r="H68" s="26" t="s">
        <v>907</v>
      </c>
      <c r="I68" s="32">
        <f>(Metodologia[[#This Row],[Visites]]*0.15)/MAX(Metodologia[Visites])</f>
        <v>4.3107998567308231E-3</v>
      </c>
      <c r="J68" s="26" t="s">
        <v>614</v>
      </c>
      <c r="K68" s="28" t="s">
        <v>621</v>
      </c>
      <c r="L68" s="28" t="s">
        <v>620</v>
      </c>
      <c r="M68" s="28" t="s">
        <v>620</v>
      </c>
      <c r="N68" s="26" t="s">
        <v>632</v>
      </c>
      <c r="O68" s="47">
        <v>12196</v>
      </c>
      <c r="P68" s="26"/>
      <c r="Q68" s="26" t="s">
        <v>54</v>
      </c>
      <c r="R68" s="26"/>
      <c r="S68" s="26"/>
      <c r="T68" s="26"/>
      <c r="U68" s="26" t="s">
        <v>417</v>
      </c>
      <c r="V68" s="26" t="s">
        <v>418</v>
      </c>
      <c r="W68" s="28" t="s">
        <v>620</v>
      </c>
      <c r="X68" s="28" t="s">
        <v>621</v>
      </c>
      <c r="Y68" s="28" t="s">
        <v>621</v>
      </c>
      <c r="Z68" s="28" t="s">
        <v>621</v>
      </c>
      <c r="AA68" s="28" t="s">
        <v>621</v>
      </c>
      <c r="AB68" s="28" t="s">
        <v>621</v>
      </c>
      <c r="AC68" s="28" t="s">
        <v>621</v>
      </c>
      <c r="AD68" s="28" t="s">
        <v>1227</v>
      </c>
      <c r="AE68" s="27" t="s">
        <v>847</v>
      </c>
      <c r="AF68" s="27" t="s">
        <v>848</v>
      </c>
      <c r="AG68" s="27" t="s">
        <v>725</v>
      </c>
      <c r="AH68" s="27" t="s">
        <v>631</v>
      </c>
    </row>
    <row r="69" spans="1:34" ht="22.5" x14ac:dyDescent="0.2">
      <c r="A69" s="28" t="s">
        <v>1073</v>
      </c>
      <c r="B69" s="31" t="s">
        <v>626</v>
      </c>
      <c r="C69" s="26" t="s">
        <v>2</v>
      </c>
      <c r="D69" s="26" t="s">
        <v>75</v>
      </c>
      <c r="E69" s="29" t="s">
        <v>99</v>
      </c>
      <c r="F69" s="28" t="s">
        <v>100</v>
      </c>
      <c r="G69" s="26" t="s">
        <v>20</v>
      </c>
      <c r="H69" s="26"/>
      <c r="I69" s="32">
        <f>(Metodologia[[#This Row],[Visites]]*0.15)/MAX(Metodologia[Visites])</f>
        <v>6.2714432484400617E-3</v>
      </c>
      <c r="J69" s="26"/>
      <c r="K69" s="28" t="s">
        <v>621</v>
      </c>
      <c r="L69" s="28" t="s">
        <v>621</v>
      </c>
      <c r="M69" s="28" t="s">
        <v>621</v>
      </c>
      <c r="N69" s="26" t="s">
        <v>632</v>
      </c>
      <c r="O69" s="47">
        <v>17743</v>
      </c>
      <c r="P69" s="26" t="s">
        <v>1137</v>
      </c>
      <c r="Q69" s="26" t="s">
        <v>54</v>
      </c>
      <c r="R69" s="26" t="s">
        <v>8</v>
      </c>
      <c r="S69" s="26"/>
      <c r="T69" s="26"/>
      <c r="U69" s="26"/>
      <c r="V69" s="26" t="s">
        <v>101</v>
      </c>
      <c r="W69" s="28" t="s">
        <v>620</v>
      </c>
      <c r="X69" s="28" t="s">
        <v>621</v>
      </c>
      <c r="Y69" s="28" t="s">
        <v>621</v>
      </c>
      <c r="Z69" s="28" t="s">
        <v>621</v>
      </c>
      <c r="AA69" s="28" t="s">
        <v>621</v>
      </c>
      <c r="AB69" s="28" t="s">
        <v>621</v>
      </c>
      <c r="AC69" s="28" t="s">
        <v>621</v>
      </c>
      <c r="AD69" s="28" t="s">
        <v>620</v>
      </c>
      <c r="AE69" s="27" t="s">
        <v>688</v>
      </c>
      <c r="AF69" s="27" t="s">
        <v>835</v>
      </c>
      <c r="AG69" s="27" t="s">
        <v>672</v>
      </c>
      <c r="AH69" s="27" t="s">
        <v>646</v>
      </c>
    </row>
    <row r="70" spans="1:34" ht="22.5" x14ac:dyDescent="0.2">
      <c r="A70" s="28" t="s">
        <v>1074</v>
      </c>
      <c r="B70" s="31" t="s">
        <v>626</v>
      </c>
      <c r="C70" s="26" t="s">
        <v>2</v>
      </c>
      <c r="D70" s="26" t="s">
        <v>75</v>
      </c>
      <c r="E70" s="29" t="s">
        <v>553</v>
      </c>
      <c r="F70" s="28" t="s">
        <v>554</v>
      </c>
      <c r="G70" s="26" t="s">
        <v>20</v>
      </c>
      <c r="H70" s="26"/>
      <c r="I70" s="32">
        <f>(Metodologia[[#This Row],[Visites]]*0.15)/MAX(Metodologia[Visites])</f>
        <v>5.5677041114483372E-3</v>
      </c>
      <c r="J70" s="26"/>
      <c r="K70" s="28" t="s">
        <v>621</v>
      </c>
      <c r="L70" s="28" t="s">
        <v>621</v>
      </c>
      <c r="M70" s="28" t="s">
        <v>621</v>
      </c>
      <c r="N70" s="26" t="s">
        <v>632</v>
      </c>
      <c r="O70" s="47">
        <v>15752</v>
      </c>
      <c r="P70" s="26" t="s">
        <v>1123</v>
      </c>
      <c r="Q70" s="26" t="s">
        <v>54</v>
      </c>
      <c r="R70" s="26" t="s">
        <v>555</v>
      </c>
      <c r="S70" s="26"/>
      <c r="T70" s="26"/>
      <c r="U70" s="26"/>
      <c r="V70" s="26" t="s">
        <v>556</v>
      </c>
      <c r="W70" s="28" t="s">
        <v>620</v>
      </c>
      <c r="X70" s="28" t="s">
        <v>621</v>
      </c>
      <c r="Y70" s="28" t="s">
        <v>621</v>
      </c>
      <c r="Z70" s="28" t="s">
        <v>621</v>
      </c>
      <c r="AA70" s="28" t="s">
        <v>621</v>
      </c>
      <c r="AB70" s="28" t="s">
        <v>621</v>
      </c>
      <c r="AC70" s="28" t="s">
        <v>621</v>
      </c>
      <c r="AD70" s="28" t="s">
        <v>620</v>
      </c>
      <c r="AE70" s="27" t="s">
        <v>688</v>
      </c>
      <c r="AF70" s="27" t="s">
        <v>835</v>
      </c>
      <c r="AG70" s="27" t="s">
        <v>672</v>
      </c>
      <c r="AH70" s="27" t="s">
        <v>631</v>
      </c>
    </row>
    <row r="71" spans="1:34" ht="33.75" x14ac:dyDescent="0.2">
      <c r="A71" s="28" t="s">
        <v>1080</v>
      </c>
      <c r="B71" s="31" t="s">
        <v>622</v>
      </c>
      <c r="C71" s="26" t="s">
        <v>2</v>
      </c>
      <c r="D71" s="26" t="s">
        <v>233</v>
      </c>
      <c r="E71" s="29" t="s">
        <v>362</v>
      </c>
      <c r="F71" s="28" t="s">
        <v>363</v>
      </c>
      <c r="G71" s="26" t="s">
        <v>96</v>
      </c>
      <c r="H71" s="26" t="s">
        <v>889</v>
      </c>
      <c r="I71" s="32">
        <f>(Metodologia[[#This Row],[Visites]]*0.15)/MAX(Metodologia[Visites])</f>
        <v>1.997827398344864E-2</v>
      </c>
      <c r="J71" s="26" t="s">
        <v>615</v>
      </c>
      <c r="K71" s="28" t="s">
        <v>620</v>
      </c>
      <c r="L71" s="28" t="s">
        <v>621</v>
      </c>
      <c r="M71" s="28" t="s">
        <v>620</v>
      </c>
      <c r="N71" s="26" t="s">
        <v>632</v>
      </c>
      <c r="O71" s="47">
        <v>56522</v>
      </c>
      <c r="P71" s="26" t="s">
        <v>1187</v>
      </c>
      <c r="Q71" s="26" t="s">
        <v>7</v>
      </c>
      <c r="R71" s="26" t="s">
        <v>8</v>
      </c>
      <c r="S71" s="26" t="s">
        <v>1185</v>
      </c>
      <c r="T71" s="26"/>
      <c r="U71" s="26"/>
      <c r="V71" s="26" t="s">
        <v>364</v>
      </c>
      <c r="W71" s="28" t="s">
        <v>620</v>
      </c>
      <c r="X71" s="28" t="s">
        <v>621</v>
      </c>
      <c r="Y71" s="28" t="s">
        <v>621</v>
      </c>
      <c r="Z71" s="28" t="s">
        <v>621</v>
      </c>
      <c r="AA71" s="28" t="s">
        <v>621</v>
      </c>
      <c r="AB71" s="28" t="s">
        <v>621</v>
      </c>
      <c r="AC71" s="28" t="s">
        <v>621</v>
      </c>
      <c r="AD71" s="28" t="s">
        <v>621</v>
      </c>
      <c r="AE71" s="27" t="s">
        <v>715</v>
      </c>
      <c r="AF71" s="27" t="s">
        <v>716</v>
      </c>
      <c r="AG71" s="27" t="s">
        <v>717</v>
      </c>
      <c r="AH71" s="27" t="s">
        <v>638</v>
      </c>
    </row>
    <row r="72" spans="1:34" ht="22.5" x14ac:dyDescent="0.2">
      <c r="A72" s="28" t="s">
        <v>1081</v>
      </c>
      <c r="B72" s="31" t="s">
        <v>622</v>
      </c>
      <c r="C72" s="26" t="s">
        <v>2</v>
      </c>
      <c r="D72" s="26" t="s">
        <v>233</v>
      </c>
      <c r="E72" s="29" t="s">
        <v>419</v>
      </c>
      <c r="F72" s="28" t="s">
        <v>420</v>
      </c>
      <c r="G72" s="26" t="s">
        <v>96</v>
      </c>
      <c r="H72" s="26" t="s">
        <v>889</v>
      </c>
      <c r="I72" s="32">
        <f>(Metodologia[[#This Row],[Visites]]*0.15)/MAX(Metodologia[Visites])</f>
        <v>1.5567444907346316E-2</v>
      </c>
      <c r="J72" s="26" t="s">
        <v>615</v>
      </c>
      <c r="K72" s="28" t="s">
        <v>620</v>
      </c>
      <c r="L72" s="28" t="s">
        <v>621</v>
      </c>
      <c r="M72" s="28" t="s">
        <v>620</v>
      </c>
      <c r="N72" s="26" t="s">
        <v>632</v>
      </c>
      <c r="O72" s="47">
        <v>44043</v>
      </c>
      <c r="P72" s="26" t="s">
        <v>1188</v>
      </c>
      <c r="Q72" s="26" t="s">
        <v>7</v>
      </c>
      <c r="R72" s="26" t="s">
        <v>297</v>
      </c>
      <c r="S72" s="26"/>
      <c r="T72" s="26"/>
      <c r="U72" s="26"/>
      <c r="V72" s="26" t="s">
        <v>421</v>
      </c>
      <c r="W72" s="28" t="s">
        <v>620</v>
      </c>
      <c r="X72" s="28" t="s">
        <v>621</v>
      </c>
      <c r="Y72" s="28" t="s">
        <v>621</v>
      </c>
      <c r="Z72" s="28" t="s">
        <v>621</v>
      </c>
      <c r="AA72" s="28" t="s">
        <v>621</v>
      </c>
      <c r="AB72" s="28" t="s">
        <v>621</v>
      </c>
      <c r="AC72" s="28" t="s">
        <v>621</v>
      </c>
      <c r="AD72" s="28" t="s">
        <v>621</v>
      </c>
      <c r="AE72" s="27" t="s">
        <v>715</v>
      </c>
      <c r="AF72" s="27" t="s">
        <v>716</v>
      </c>
      <c r="AG72" s="27" t="s">
        <v>717</v>
      </c>
      <c r="AH72" s="27" t="s">
        <v>647</v>
      </c>
    </row>
    <row r="73" spans="1:34" ht="22.5" x14ac:dyDescent="0.2">
      <c r="A73" s="28" t="s">
        <v>1082</v>
      </c>
      <c r="B73" s="31" t="s">
        <v>622</v>
      </c>
      <c r="C73" s="26" t="s">
        <v>2</v>
      </c>
      <c r="D73" s="26" t="s">
        <v>233</v>
      </c>
      <c r="E73" s="29" t="s">
        <v>295</v>
      </c>
      <c r="F73" s="28" t="s">
        <v>296</v>
      </c>
      <c r="G73" s="26" t="s">
        <v>96</v>
      </c>
      <c r="H73" s="26" t="s">
        <v>889</v>
      </c>
      <c r="I73" s="32">
        <f>(Metodologia[[#This Row],[Visites]]*0.15)/MAX(Metodologia[Visites])</f>
        <v>2.693012799969838E-3</v>
      </c>
      <c r="J73" s="26"/>
      <c r="K73" s="28" t="s">
        <v>620</v>
      </c>
      <c r="L73" s="28" t="s">
        <v>620</v>
      </c>
      <c r="M73" s="28" t="s">
        <v>620</v>
      </c>
      <c r="N73" s="26" t="s">
        <v>632</v>
      </c>
      <c r="O73" s="47">
        <v>7619</v>
      </c>
      <c r="P73" s="26" t="s">
        <v>1189</v>
      </c>
      <c r="Q73" s="26" t="s">
        <v>54</v>
      </c>
      <c r="R73" s="26" t="s">
        <v>297</v>
      </c>
      <c r="S73" s="26"/>
      <c r="T73" s="26"/>
      <c r="U73" s="26"/>
      <c r="V73" s="26" t="s">
        <v>298</v>
      </c>
      <c r="W73" s="28" t="s">
        <v>620</v>
      </c>
      <c r="X73" s="28" t="s">
        <v>621</v>
      </c>
      <c r="Y73" s="28" t="s">
        <v>621</v>
      </c>
      <c r="Z73" s="28" t="s">
        <v>621</v>
      </c>
      <c r="AA73" s="28" t="s">
        <v>621</v>
      </c>
      <c r="AB73" s="28" t="s">
        <v>621</v>
      </c>
      <c r="AC73" s="28" t="s">
        <v>621</v>
      </c>
      <c r="AD73" s="28" t="s">
        <v>621</v>
      </c>
      <c r="AE73" s="27" t="s">
        <v>715</v>
      </c>
      <c r="AF73" s="27" t="s">
        <v>716</v>
      </c>
      <c r="AG73" s="27" t="s">
        <v>717</v>
      </c>
      <c r="AH73" s="27" t="s">
        <v>638</v>
      </c>
    </row>
    <row r="74" spans="1:34" ht="22.5" x14ac:dyDescent="0.2">
      <c r="A74" s="28" t="s">
        <v>1083</v>
      </c>
      <c r="B74" s="31" t="s">
        <v>622</v>
      </c>
      <c r="C74" s="26" t="s">
        <v>2</v>
      </c>
      <c r="D74" s="26" t="s">
        <v>233</v>
      </c>
      <c r="E74" s="29" t="s">
        <v>425</v>
      </c>
      <c r="F74" s="28" t="s">
        <v>426</v>
      </c>
      <c r="G74" s="26" t="s">
        <v>96</v>
      </c>
      <c r="H74" s="26" t="s">
        <v>889</v>
      </c>
      <c r="I74" s="32">
        <f>(Metodologia[[#This Row],[Visites]]*0.15)/MAX(Metodologia[Visites])</f>
        <v>2.86726864855694E-3</v>
      </c>
      <c r="J74" s="26" t="s">
        <v>616</v>
      </c>
      <c r="K74" s="28" t="s">
        <v>620</v>
      </c>
      <c r="L74" s="28" t="s">
        <v>621</v>
      </c>
      <c r="M74" s="28" t="s">
        <v>620</v>
      </c>
      <c r="N74" s="26" t="s">
        <v>632</v>
      </c>
      <c r="O74" s="47">
        <v>8112</v>
      </c>
      <c r="P74" s="26" t="s">
        <v>1188</v>
      </c>
      <c r="Q74" s="26" t="s">
        <v>54</v>
      </c>
      <c r="R74" s="26" t="s">
        <v>297</v>
      </c>
      <c r="S74" s="26" t="s">
        <v>427</v>
      </c>
      <c r="T74" s="26" t="s">
        <v>428</v>
      </c>
      <c r="U74" s="26"/>
      <c r="V74" s="26" t="s">
        <v>429</v>
      </c>
      <c r="W74" s="28" t="s">
        <v>620</v>
      </c>
      <c r="X74" s="28" t="s">
        <v>621</v>
      </c>
      <c r="Y74" s="28" t="s">
        <v>621</v>
      </c>
      <c r="Z74" s="28" t="s">
        <v>621</v>
      </c>
      <c r="AA74" s="28" t="s">
        <v>621</v>
      </c>
      <c r="AB74" s="28" t="s">
        <v>621</v>
      </c>
      <c r="AC74" s="28" t="s">
        <v>621</v>
      </c>
      <c r="AD74" s="28" t="s">
        <v>621</v>
      </c>
      <c r="AE74" s="27" t="s">
        <v>715</v>
      </c>
      <c r="AF74" s="27" t="s">
        <v>716</v>
      </c>
      <c r="AG74" s="27" t="s">
        <v>717</v>
      </c>
      <c r="AH74" s="27" t="s">
        <v>638</v>
      </c>
    </row>
    <row r="75" spans="1:34" ht="45" x14ac:dyDescent="0.2">
      <c r="A75" s="28" t="s">
        <v>1084</v>
      </c>
      <c r="B75" s="31" t="s">
        <v>625</v>
      </c>
      <c r="C75" s="26" t="s">
        <v>2</v>
      </c>
      <c r="D75" s="26" t="s">
        <v>233</v>
      </c>
      <c r="E75" s="29" t="s">
        <v>234</v>
      </c>
      <c r="F75" s="28" t="s">
        <v>235</v>
      </c>
      <c r="G75" s="26" t="s">
        <v>6</v>
      </c>
      <c r="H75" s="26" t="s">
        <v>889</v>
      </c>
      <c r="I75" s="32">
        <f>(Metodologia[[#This Row],[Visites]]*0.15)/MAX(Metodologia[Visites])</f>
        <v>9.0026297434350668E-4</v>
      </c>
      <c r="J75" s="26" t="s">
        <v>617</v>
      </c>
      <c r="K75" s="28" t="s">
        <v>620</v>
      </c>
      <c r="L75" s="28" t="s">
        <v>621</v>
      </c>
      <c r="M75" s="28" t="s">
        <v>621</v>
      </c>
      <c r="N75" s="26" t="s">
        <v>632</v>
      </c>
      <c r="O75" s="47">
        <v>2547</v>
      </c>
      <c r="P75" s="26"/>
      <c r="Q75" s="26" t="s">
        <v>54</v>
      </c>
      <c r="R75" s="26"/>
      <c r="S75" s="26" t="s">
        <v>1183</v>
      </c>
      <c r="T75" s="26"/>
      <c r="U75" s="26" t="s">
        <v>236</v>
      </c>
      <c r="V75" s="26" t="s">
        <v>237</v>
      </c>
      <c r="W75" s="28" t="s">
        <v>620</v>
      </c>
      <c r="X75" s="28" t="s">
        <v>621</v>
      </c>
      <c r="Y75" s="28" t="s">
        <v>621</v>
      </c>
      <c r="Z75" s="28" t="s">
        <v>621</v>
      </c>
      <c r="AA75" s="28" t="s">
        <v>621</v>
      </c>
      <c r="AB75" s="28" t="s">
        <v>621</v>
      </c>
      <c r="AC75" s="28" t="s">
        <v>621</v>
      </c>
      <c r="AD75" s="28" t="s">
        <v>621</v>
      </c>
      <c r="AE75" s="27" t="s">
        <v>849</v>
      </c>
      <c r="AF75" s="27" t="s">
        <v>850</v>
      </c>
      <c r="AG75" s="27" t="s">
        <v>725</v>
      </c>
      <c r="AH75" s="27" t="s">
        <v>646</v>
      </c>
    </row>
    <row r="76" spans="1:34" ht="33.75" x14ac:dyDescent="0.2">
      <c r="A76" s="28" t="s">
        <v>1085</v>
      </c>
      <c r="B76" s="31" t="s">
        <v>625</v>
      </c>
      <c r="C76" s="26" t="s">
        <v>2</v>
      </c>
      <c r="D76" s="26" t="s">
        <v>89</v>
      </c>
      <c r="E76" s="29" t="s">
        <v>90</v>
      </c>
      <c r="F76" s="28" t="s">
        <v>91</v>
      </c>
      <c r="G76" s="26" t="s">
        <v>6</v>
      </c>
      <c r="H76" s="26" t="s">
        <v>889</v>
      </c>
      <c r="I76" s="32">
        <f>(Metodologia[[#This Row],[Visites]]*0.15)/MAX(Metodologia[Visites])</f>
        <v>4.7999886892755478E-4</v>
      </c>
      <c r="J76" s="26" t="s">
        <v>618</v>
      </c>
      <c r="K76" s="28" t="s">
        <v>620</v>
      </c>
      <c r="L76" s="28" t="s">
        <v>621</v>
      </c>
      <c r="M76" s="28" t="s">
        <v>621</v>
      </c>
      <c r="N76" s="26" t="s">
        <v>632</v>
      </c>
      <c r="O76" s="47">
        <v>1358</v>
      </c>
      <c r="P76" s="26"/>
      <c r="Q76" s="26" t="s">
        <v>54</v>
      </c>
      <c r="R76" s="26" t="s">
        <v>92</v>
      </c>
      <c r="S76" s="26"/>
      <c r="T76" s="26"/>
      <c r="U76" s="26"/>
      <c r="V76" s="26" t="s">
        <v>93</v>
      </c>
      <c r="W76" s="28" t="s">
        <v>620</v>
      </c>
      <c r="X76" s="28" t="s">
        <v>620</v>
      </c>
      <c r="Y76" s="28" t="s">
        <v>620</v>
      </c>
      <c r="Z76" s="28" t="s">
        <v>1227</v>
      </c>
      <c r="AA76" s="28" t="s">
        <v>1227</v>
      </c>
      <c r="AB76" s="28" t="s">
        <v>620</v>
      </c>
      <c r="AC76" s="28" t="s">
        <v>1227</v>
      </c>
      <c r="AD76" s="28" t="s">
        <v>620</v>
      </c>
      <c r="AE76" s="27" t="s">
        <v>851</v>
      </c>
      <c r="AF76" s="27" t="s">
        <v>852</v>
      </c>
      <c r="AG76" s="27" t="s">
        <v>713</v>
      </c>
      <c r="AH76" s="27" t="s">
        <v>631</v>
      </c>
    </row>
    <row r="77" spans="1:34" ht="45" x14ac:dyDescent="0.2">
      <c r="A77" s="28" t="s">
        <v>1086</v>
      </c>
      <c r="B77" s="31" t="s">
        <v>626</v>
      </c>
      <c r="C77" s="26" t="s">
        <v>2</v>
      </c>
      <c r="D77" s="26" t="s">
        <v>89</v>
      </c>
      <c r="E77" s="29" t="s">
        <v>443</v>
      </c>
      <c r="F77" s="28" t="s">
        <v>444</v>
      </c>
      <c r="G77" s="26" t="s">
        <v>6</v>
      </c>
      <c r="H77" s="26"/>
      <c r="I77" s="32">
        <f>(Metodologia[[#This Row],[Visites]]*0.15)/MAX(Metodologia[Visites])</f>
        <v>9.6848078119403543E-4</v>
      </c>
      <c r="J77" s="26" t="s">
        <v>618</v>
      </c>
      <c r="K77" s="28" t="s">
        <v>621</v>
      </c>
      <c r="L77" s="28" t="s">
        <v>620</v>
      </c>
      <c r="M77" s="28" t="s">
        <v>621</v>
      </c>
      <c r="N77" s="26" t="s">
        <v>632</v>
      </c>
      <c r="O77" s="47">
        <v>2740</v>
      </c>
      <c r="P77" s="26"/>
      <c r="Q77" s="26" t="s">
        <v>54</v>
      </c>
      <c r="R77" s="26"/>
      <c r="S77" s="26"/>
      <c r="T77" s="26"/>
      <c r="U77" s="26" t="s">
        <v>445</v>
      </c>
      <c r="V77" s="26" t="s">
        <v>446</v>
      </c>
      <c r="W77" s="28" t="s">
        <v>620</v>
      </c>
      <c r="X77" s="28" t="s">
        <v>1227</v>
      </c>
      <c r="Y77" s="28" t="s">
        <v>1227</v>
      </c>
      <c r="Z77" s="28" t="s">
        <v>1227</v>
      </c>
      <c r="AA77" s="28" t="s">
        <v>1227</v>
      </c>
      <c r="AB77" s="28" t="s">
        <v>1227</v>
      </c>
      <c r="AC77" s="28" t="s">
        <v>1227</v>
      </c>
      <c r="AD77" s="28" t="s">
        <v>1227</v>
      </c>
      <c r="AE77" s="27" t="s">
        <v>853</v>
      </c>
      <c r="AF77" s="27" t="s">
        <v>854</v>
      </c>
      <c r="AG77" s="27" t="s">
        <v>713</v>
      </c>
      <c r="AH77" s="27" t="s">
        <v>646</v>
      </c>
    </row>
    <row r="78" spans="1:34" ht="56.25" x14ac:dyDescent="0.2">
      <c r="A78" s="28" t="s">
        <v>1087</v>
      </c>
      <c r="B78" s="31" t="s">
        <v>626</v>
      </c>
      <c r="C78" s="26" t="s">
        <v>2</v>
      </c>
      <c r="D78" s="26" t="s">
        <v>89</v>
      </c>
      <c r="E78" s="29" t="s">
        <v>320</v>
      </c>
      <c r="F78" s="28" t="s">
        <v>321</v>
      </c>
      <c r="G78" s="26" t="s">
        <v>6</v>
      </c>
      <c r="H78" s="26"/>
      <c r="I78" s="32">
        <f>(Metodologia[[#This Row],[Visites]]*0.15)/MAX(Metodologia[Visites])</f>
        <v>4.8954229268384638E-4</v>
      </c>
      <c r="J78" s="26" t="s">
        <v>618</v>
      </c>
      <c r="K78" s="28" t="s">
        <v>621</v>
      </c>
      <c r="L78" s="28" t="s">
        <v>621</v>
      </c>
      <c r="M78" s="28" t="s">
        <v>621</v>
      </c>
      <c r="N78" s="26" t="s">
        <v>632</v>
      </c>
      <c r="O78" s="47">
        <v>1385</v>
      </c>
      <c r="P78" s="26"/>
      <c r="Q78" s="26" t="s">
        <v>54</v>
      </c>
      <c r="R78" s="26"/>
      <c r="S78" s="26"/>
      <c r="T78" s="26"/>
      <c r="U78" s="26" t="s">
        <v>322</v>
      </c>
      <c r="V78" s="26" t="s">
        <v>323</v>
      </c>
      <c r="W78" s="28" t="s">
        <v>620</v>
      </c>
      <c r="X78" s="28" t="s">
        <v>1227</v>
      </c>
      <c r="Y78" s="28" t="s">
        <v>1227</v>
      </c>
      <c r="Z78" s="28" t="s">
        <v>1227</v>
      </c>
      <c r="AA78" s="28" t="s">
        <v>1227</v>
      </c>
      <c r="AB78" s="28" t="s">
        <v>1227</v>
      </c>
      <c r="AC78" s="28" t="s">
        <v>1227</v>
      </c>
      <c r="AD78" s="28" t="s">
        <v>1227</v>
      </c>
      <c r="AE78" s="27" t="s">
        <v>855</v>
      </c>
      <c r="AF78" s="27" t="s">
        <v>856</v>
      </c>
      <c r="AG78" s="27" t="s">
        <v>713</v>
      </c>
      <c r="AH78" s="27" t="s">
        <v>646</v>
      </c>
    </row>
    <row r="79" spans="1:34" ht="56.25" x14ac:dyDescent="0.2">
      <c r="A79" s="28" t="s">
        <v>1088</v>
      </c>
      <c r="B79" s="31" t="s">
        <v>626</v>
      </c>
      <c r="C79" s="26" t="s">
        <v>2</v>
      </c>
      <c r="D79" s="26" t="s">
        <v>89</v>
      </c>
      <c r="E79" s="29" t="s">
        <v>463</v>
      </c>
      <c r="F79" s="28" t="s">
        <v>464</v>
      </c>
      <c r="G79" s="26" t="s">
        <v>20</v>
      </c>
      <c r="H79" s="26"/>
      <c r="I79" s="32">
        <f>(Metodologia[[#This Row],[Visites]]*0.15)/MAX(Metodologia[Visites])</f>
        <v>4.8530077101438345E-4</v>
      </c>
      <c r="J79" s="26" t="s">
        <v>618</v>
      </c>
      <c r="K79" s="28" t="s">
        <v>621</v>
      </c>
      <c r="L79" s="28" t="s">
        <v>620</v>
      </c>
      <c r="M79" s="28" t="s">
        <v>621</v>
      </c>
      <c r="N79" s="26" t="s">
        <v>632</v>
      </c>
      <c r="O79" s="47">
        <v>1373</v>
      </c>
      <c r="P79" s="26" t="s">
        <v>1190</v>
      </c>
      <c r="Q79" s="26" t="s">
        <v>54</v>
      </c>
      <c r="R79" s="26"/>
      <c r="S79" s="26"/>
      <c r="T79" s="26"/>
      <c r="U79" s="26" t="s">
        <v>322</v>
      </c>
      <c r="V79" s="26" t="s">
        <v>465</v>
      </c>
      <c r="W79" s="28" t="s">
        <v>620</v>
      </c>
      <c r="X79" s="28" t="s">
        <v>1227</v>
      </c>
      <c r="Y79" s="28" t="s">
        <v>1227</v>
      </c>
      <c r="Z79" s="28" t="s">
        <v>1227</v>
      </c>
      <c r="AA79" s="28" t="s">
        <v>1227</v>
      </c>
      <c r="AB79" s="28" t="s">
        <v>1227</v>
      </c>
      <c r="AC79" s="28" t="s">
        <v>1227</v>
      </c>
      <c r="AD79" s="28" t="s">
        <v>1227</v>
      </c>
      <c r="AE79" s="27" t="s">
        <v>670</v>
      </c>
      <c r="AF79" s="27" t="s">
        <v>692</v>
      </c>
      <c r="AG79" s="27" t="s">
        <v>672</v>
      </c>
      <c r="AH79" s="27" t="s">
        <v>646</v>
      </c>
    </row>
    <row r="80" spans="1:34" ht="22.5" x14ac:dyDescent="0.2">
      <c r="A80" s="28" t="s">
        <v>995</v>
      </c>
      <c r="B80" s="31" t="s">
        <v>622</v>
      </c>
      <c r="C80" s="26" t="s">
        <v>45</v>
      </c>
      <c r="D80" s="26" t="s">
        <v>151</v>
      </c>
      <c r="E80" s="29" t="s">
        <v>337</v>
      </c>
      <c r="F80" s="28" t="s">
        <v>338</v>
      </c>
      <c r="G80" s="26" t="s">
        <v>20</v>
      </c>
      <c r="H80" s="26" t="s">
        <v>889</v>
      </c>
      <c r="I80" s="32">
        <f>(Metodologia[[#This Row],[Visites]]*0.15)/MAX(Metodologia[Visites])</f>
        <v>1.6377575546213736E-2</v>
      </c>
      <c r="J80" s="26" t="s">
        <v>579</v>
      </c>
      <c r="K80" s="28" t="s">
        <v>620</v>
      </c>
      <c r="L80" s="28" t="s">
        <v>621</v>
      </c>
      <c r="M80" s="28" t="s">
        <v>620</v>
      </c>
      <c r="N80" s="26" t="s">
        <v>632</v>
      </c>
      <c r="O80" s="47">
        <v>46335</v>
      </c>
      <c r="P80" s="26" t="s">
        <v>1141</v>
      </c>
      <c r="Q80" s="26" t="s">
        <v>32</v>
      </c>
      <c r="R80" s="26" t="s">
        <v>339</v>
      </c>
      <c r="S80" s="26"/>
      <c r="T80" s="26" t="s">
        <v>340</v>
      </c>
      <c r="U80" s="26"/>
      <c r="V80" s="26" t="s">
        <v>341</v>
      </c>
      <c r="W80" s="28" t="s">
        <v>620</v>
      </c>
      <c r="X80" s="28" t="s">
        <v>620</v>
      </c>
      <c r="Y80" s="28" t="s">
        <v>620</v>
      </c>
      <c r="Z80" s="28" t="s">
        <v>620</v>
      </c>
      <c r="AA80" s="28" t="s">
        <v>620</v>
      </c>
      <c r="AB80" s="28" t="s">
        <v>620</v>
      </c>
      <c r="AC80" s="28" t="s">
        <v>620</v>
      </c>
      <c r="AD80" s="28" t="s">
        <v>620</v>
      </c>
      <c r="AE80" s="27" t="s">
        <v>670</v>
      </c>
      <c r="AF80" s="27" t="s">
        <v>692</v>
      </c>
      <c r="AG80" s="27" t="s">
        <v>672</v>
      </c>
      <c r="AH80" s="27" t="s">
        <v>631</v>
      </c>
    </row>
    <row r="81" spans="1:34" ht="33.75" x14ac:dyDescent="0.2">
      <c r="A81" s="28" t="s">
        <v>996</v>
      </c>
      <c r="B81" s="31" t="s">
        <v>622</v>
      </c>
      <c r="C81" s="26" t="s">
        <v>45</v>
      </c>
      <c r="D81" s="26" t="s">
        <v>151</v>
      </c>
      <c r="E81" s="29" t="s">
        <v>152</v>
      </c>
      <c r="F81" s="28" t="s">
        <v>153</v>
      </c>
      <c r="G81" s="26" t="s">
        <v>96</v>
      </c>
      <c r="H81" s="26" t="s">
        <v>889</v>
      </c>
      <c r="I81" s="32">
        <f>(Metodologia[[#This Row],[Visites]]*0.15)/MAX(Metodologia[Visites])</f>
        <v>1.9376684826663147E-3</v>
      </c>
      <c r="J81" s="26" t="s">
        <v>580</v>
      </c>
      <c r="K81" s="28" t="s">
        <v>620</v>
      </c>
      <c r="L81" s="28" t="s">
        <v>621</v>
      </c>
      <c r="M81" s="28" t="s">
        <v>620</v>
      </c>
      <c r="N81" s="26" t="s">
        <v>632</v>
      </c>
      <c r="O81" s="47">
        <v>5482</v>
      </c>
      <c r="P81" s="26" t="s">
        <v>1142</v>
      </c>
      <c r="Q81" s="26" t="s">
        <v>32</v>
      </c>
      <c r="R81" s="26" t="s">
        <v>154</v>
      </c>
      <c r="S81" s="26"/>
      <c r="T81" s="26" t="s">
        <v>155</v>
      </c>
      <c r="U81" s="26"/>
      <c r="V81" s="26" t="s">
        <v>156</v>
      </c>
      <c r="W81" s="28" t="s">
        <v>620</v>
      </c>
      <c r="X81" s="28" t="s">
        <v>620</v>
      </c>
      <c r="Y81" s="28" t="s">
        <v>620</v>
      </c>
      <c r="Z81" s="28" t="s">
        <v>620</v>
      </c>
      <c r="AA81" s="28" t="s">
        <v>620</v>
      </c>
      <c r="AB81" s="28" t="s">
        <v>620</v>
      </c>
      <c r="AC81" s="28" t="s">
        <v>620</v>
      </c>
      <c r="AD81" s="28" t="s">
        <v>620</v>
      </c>
      <c r="AE81" s="27" t="s">
        <v>715</v>
      </c>
      <c r="AF81" s="27" t="s">
        <v>716</v>
      </c>
      <c r="AG81" s="27" t="s">
        <v>717</v>
      </c>
      <c r="AH81" s="27" t="s">
        <v>638</v>
      </c>
    </row>
    <row r="82" spans="1:34" ht="22.5" x14ac:dyDescent="0.2">
      <c r="A82" s="28" t="s">
        <v>997</v>
      </c>
      <c r="B82" s="31" t="s">
        <v>622</v>
      </c>
      <c r="C82" s="26" t="s">
        <v>45</v>
      </c>
      <c r="D82" s="26" t="s">
        <v>151</v>
      </c>
      <c r="E82" s="29" t="s">
        <v>581</v>
      </c>
      <c r="F82" s="28" t="s">
        <v>469</v>
      </c>
      <c r="G82" s="26" t="s">
        <v>20</v>
      </c>
      <c r="H82" s="26" t="s">
        <v>889</v>
      </c>
      <c r="I82" s="32">
        <f>(Metodologia[[#This Row],[Visites]]*0.15)/MAX(Metodologia[Visites])</f>
        <v>2.8771655324523536E-3</v>
      </c>
      <c r="J82" s="26" t="s">
        <v>579</v>
      </c>
      <c r="K82" s="28" t="s">
        <v>620</v>
      </c>
      <c r="L82" s="28" t="s">
        <v>620</v>
      </c>
      <c r="M82" s="28" t="s">
        <v>620</v>
      </c>
      <c r="N82" s="26" t="s">
        <v>632</v>
      </c>
      <c r="O82" s="47">
        <v>8140</v>
      </c>
      <c r="P82" s="26" t="s">
        <v>1143</v>
      </c>
      <c r="Q82" s="26" t="s">
        <v>32</v>
      </c>
      <c r="R82" s="26" t="s">
        <v>470</v>
      </c>
      <c r="S82" s="26" t="s">
        <v>1144</v>
      </c>
      <c r="T82" s="26" t="s">
        <v>471</v>
      </c>
      <c r="U82" s="26"/>
      <c r="V82" s="26" t="s">
        <v>472</v>
      </c>
      <c r="W82" s="28" t="s">
        <v>620</v>
      </c>
      <c r="X82" s="28" t="s">
        <v>620</v>
      </c>
      <c r="Y82" s="28" t="s">
        <v>620</v>
      </c>
      <c r="Z82" s="28" t="s">
        <v>620</v>
      </c>
      <c r="AA82" s="28" t="s">
        <v>620</v>
      </c>
      <c r="AB82" s="28" t="s">
        <v>620</v>
      </c>
      <c r="AC82" s="28" t="s">
        <v>620</v>
      </c>
      <c r="AD82" s="28" t="s">
        <v>620</v>
      </c>
      <c r="AE82" s="27" t="s">
        <v>688</v>
      </c>
      <c r="AF82" s="27" t="s">
        <v>741</v>
      </c>
      <c r="AG82" s="27" t="s">
        <v>672</v>
      </c>
      <c r="AH82" s="27" t="s">
        <v>631</v>
      </c>
    </row>
    <row r="83" spans="1:34" ht="22.5" x14ac:dyDescent="0.2">
      <c r="A83" s="28" t="s">
        <v>998</v>
      </c>
      <c r="B83" s="31" t="s">
        <v>622</v>
      </c>
      <c r="C83" s="26" t="s">
        <v>45</v>
      </c>
      <c r="D83" s="26" t="s">
        <v>151</v>
      </c>
      <c r="E83" s="29" t="s">
        <v>473</v>
      </c>
      <c r="F83" s="28" t="s">
        <v>474</v>
      </c>
      <c r="G83" s="26" t="s">
        <v>20</v>
      </c>
      <c r="H83" s="26" t="s">
        <v>889</v>
      </c>
      <c r="I83" s="32">
        <f>(Metodologia[[#This Row],[Visites]]*0.15)/MAX(Metodologia[Visites])</f>
        <v>2.9209945897034702E-3</v>
      </c>
      <c r="J83" s="26" t="s">
        <v>579</v>
      </c>
      <c r="K83" s="28" t="s">
        <v>620</v>
      </c>
      <c r="L83" s="28" t="s">
        <v>620</v>
      </c>
      <c r="M83" s="28" t="s">
        <v>620</v>
      </c>
      <c r="N83" s="26" t="s">
        <v>632</v>
      </c>
      <c r="O83" s="47">
        <v>8264</v>
      </c>
      <c r="P83" s="26" t="s">
        <v>1145</v>
      </c>
      <c r="Q83" s="26" t="s">
        <v>7</v>
      </c>
      <c r="R83" s="26" t="s">
        <v>470</v>
      </c>
      <c r="S83" s="26" t="s">
        <v>1144</v>
      </c>
      <c r="T83" s="26" t="s">
        <v>475</v>
      </c>
      <c r="U83" s="26"/>
      <c r="V83" s="26" t="s">
        <v>476</v>
      </c>
      <c r="W83" s="28" t="s">
        <v>620</v>
      </c>
      <c r="X83" s="28" t="s">
        <v>620</v>
      </c>
      <c r="Y83" s="28" t="s">
        <v>620</v>
      </c>
      <c r="Z83" s="28" t="s">
        <v>620</v>
      </c>
      <c r="AA83" s="28" t="s">
        <v>620</v>
      </c>
      <c r="AB83" s="28" t="s">
        <v>620</v>
      </c>
      <c r="AC83" s="28" t="s">
        <v>620</v>
      </c>
      <c r="AD83" s="28" t="s">
        <v>620</v>
      </c>
      <c r="AE83" s="27" t="s">
        <v>688</v>
      </c>
      <c r="AF83" s="27" t="s">
        <v>741</v>
      </c>
      <c r="AG83" s="27" t="s">
        <v>672</v>
      </c>
      <c r="AH83" s="27" t="s">
        <v>631</v>
      </c>
    </row>
    <row r="84" spans="1:34" ht="22.5" x14ac:dyDescent="0.2">
      <c r="A84" s="28" t="s">
        <v>999</v>
      </c>
      <c r="B84" s="31" t="s">
        <v>622</v>
      </c>
      <c r="C84" s="26" t="s">
        <v>45</v>
      </c>
      <c r="D84" s="26" t="s">
        <v>151</v>
      </c>
      <c r="E84" s="29" t="s">
        <v>357</v>
      </c>
      <c r="F84" s="28" t="s">
        <v>358</v>
      </c>
      <c r="G84" s="26" t="s">
        <v>96</v>
      </c>
      <c r="H84" s="26" t="s">
        <v>889</v>
      </c>
      <c r="I84" s="32">
        <f>(Metodologia[[#This Row],[Visites]]*0.15)/MAX(Metodologia[Visites])</f>
        <v>7.4827511452108507E-4</v>
      </c>
      <c r="J84" s="26" t="s">
        <v>582</v>
      </c>
      <c r="K84" s="28" t="s">
        <v>620</v>
      </c>
      <c r="L84" s="28" t="s">
        <v>620</v>
      </c>
      <c r="M84" s="28" t="s">
        <v>621</v>
      </c>
      <c r="N84" s="26" t="s">
        <v>632</v>
      </c>
      <c r="O84" s="47">
        <v>2117</v>
      </c>
      <c r="P84" s="26" t="s">
        <v>1142</v>
      </c>
      <c r="Q84" s="26" t="s">
        <v>32</v>
      </c>
      <c r="R84" s="26" t="s">
        <v>359</v>
      </c>
      <c r="S84" s="26" t="s">
        <v>1144</v>
      </c>
      <c r="T84" s="26" t="s">
        <v>360</v>
      </c>
      <c r="U84" s="26"/>
      <c r="V84" s="26" t="s">
        <v>361</v>
      </c>
      <c r="W84" s="28" t="s">
        <v>620</v>
      </c>
      <c r="X84" s="28" t="s">
        <v>620</v>
      </c>
      <c r="Y84" s="28" t="s">
        <v>620</v>
      </c>
      <c r="Z84" s="28" t="s">
        <v>620</v>
      </c>
      <c r="AA84" s="28" t="s">
        <v>620</v>
      </c>
      <c r="AB84" s="28" t="s">
        <v>620</v>
      </c>
      <c r="AC84" s="28" t="s">
        <v>620</v>
      </c>
      <c r="AD84" s="28" t="s">
        <v>620</v>
      </c>
      <c r="AE84" s="27" t="s">
        <v>715</v>
      </c>
      <c r="AF84" s="27" t="s">
        <v>716</v>
      </c>
      <c r="AG84" s="27" t="s">
        <v>717</v>
      </c>
      <c r="AH84" s="27" t="s">
        <v>638</v>
      </c>
    </row>
    <row r="85" spans="1:34" ht="33.75" x14ac:dyDescent="0.2">
      <c r="A85" s="28" t="s">
        <v>1000</v>
      </c>
      <c r="B85" s="31" t="s">
        <v>626</v>
      </c>
      <c r="C85" s="26" t="s">
        <v>45</v>
      </c>
      <c r="D85" s="26" t="s">
        <v>151</v>
      </c>
      <c r="E85" s="29" t="s">
        <v>447</v>
      </c>
      <c r="F85" s="28" t="s">
        <v>448</v>
      </c>
      <c r="G85" s="26" t="s">
        <v>20</v>
      </c>
      <c r="H85" s="26"/>
      <c r="I85" s="32">
        <f>(Metodologia[[#This Row],[Visites]]*0.15)/MAX(Metodologia[Visites])</f>
        <v>1.1240032424076761E-3</v>
      </c>
      <c r="J85" s="26" t="s">
        <v>583</v>
      </c>
      <c r="K85" s="28" t="s">
        <v>621</v>
      </c>
      <c r="L85" s="28" t="s">
        <v>620</v>
      </c>
      <c r="M85" s="28" t="s">
        <v>621</v>
      </c>
      <c r="N85" s="26" t="s">
        <v>632</v>
      </c>
      <c r="O85" s="47">
        <v>3180</v>
      </c>
      <c r="P85" s="26" t="s">
        <v>1146</v>
      </c>
      <c r="Q85" s="26" t="s">
        <v>42</v>
      </c>
      <c r="R85" s="26"/>
      <c r="S85" s="26"/>
      <c r="T85" s="26"/>
      <c r="U85" s="26" t="s">
        <v>33</v>
      </c>
      <c r="V85" s="26" t="s">
        <v>449</v>
      </c>
      <c r="W85" s="28" t="s">
        <v>620</v>
      </c>
      <c r="X85" s="28" t="s">
        <v>1227</v>
      </c>
      <c r="Y85" s="28" t="s">
        <v>1227</v>
      </c>
      <c r="Z85" s="28" t="s">
        <v>621</v>
      </c>
      <c r="AA85" s="28" t="s">
        <v>621</v>
      </c>
      <c r="AB85" s="28" t="s">
        <v>1227</v>
      </c>
      <c r="AC85" s="28" t="s">
        <v>621</v>
      </c>
      <c r="AD85" s="28" t="s">
        <v>1227</v>
      </c>
      <c r="AE85" s="27" t="s">
        <v>742</v>
      </c>
      <c r="AF85" s="27" t="s">
        <v>743</v>
      </c>
      <c r="AG85" s="27" t="s">
        <v>744</v>
      </c>
      <c r="AH85" s="27" t="s">
        <v>646</v>
      </c>
    </row>
    <row r="86" spans="1:34" ht="33.75" x14ac:dyDescent="0.2">
      <c r="A86" s="28" t="s">
        <v>1001</v>
      </c>
      <c r="B86" s="31" t="s">
        <v>626</v>
      </c>
      <c r="C86" s="26" t="s">
        <v>45</v>
      </c>
      <c r="D86" s="26" t="s">
        <v>151</v>
      </c>
      <c r="E86" s="29" t="s">
        <v>485</v>
      </c>
      <c r="F86" s="28" t="s">
        <v>486</v>
      </c>
      <c r="G86" s="26" t="s">
        <v>6</v>
      </c>
      <c r="H86" s="26"/>
      <c r="I86" s="32">
        <f>(Metodologia[[#This Row],[Visites]]*0.15)/MAX(Metodologia[Visites])</f>
        <v>1.294724489603559E-3</v>
      </c>
      <c r="J86" s="26" t="s">
        <v>584</v>
      </c>
      <c r="K86" s="28" t="s">
        <v>621</v>
      </c>
      <c r="L86" s="28" t="s">
        <v>620</v>
      </c>
      <c r="M86" s="28" t="s">
        <v>621</v>
      </c>
      <c r="N86" s="26" t="s">
        <v>632</v>
      </c>
      <c r="O86" s="47">
        <v>3663</v>
      </c>
      <c r="P86" s="26"/>
      <c r="Q86" s="26" t="s">
        <v>7</v>
      </c>
      <c r="R86" s="26"/>
      <c r="S86" s="26" t="s">
        <v>1144</v>
      </c>
      <c r="T86" s="26"/>
      <c r="U86" s="26" t="s">
        <v>487</v>
      </c>
      <c r="V86" s="26" t="s">
        <v>488</v>
      </c>
      <c r="W86" s="28" t="s">
        <v>620</v>
      </c>
      <c r="X86" s="28" t="s">
        <v>620</v>
      </c>
      <c r="Y86" s="28" t="s">
        <v>620</v>
      </c>
      <c r="Z86" s="28" t="s">
        <v>620</v>
      </c>
      <c r="AA86" s="28" t="s">
        <v>620</v>
      </c>
      <c r="AB86" s="28" t="s">
        <v>620</v>
      </c>
      <c r="AC86" s="28" t="s">
        <v>620</v>
      </c>
      <c r="AD86" s="28" t="s">
        <v>620</v>
      </c>
      <c r="AE86" s="27" t="s">
        <v>745</v>
      </c>
      <c r="AF86" s="27" t="s">
        <v>746</v>
      </c>
      <c r="AG86" s="27" t="s">
        <v>747</v>
      </c>
      <c r="AH86" s="27" t="s">
        <v>646</v>
      </c>
    </row>
    <row r="87" spans="1:34" ht="22.5" x14ac:dyDescent="0.2">
      <c r="A87" s="28" t="s">
        <v>1002</v>
      </c>
      <c r="B87" s="31" t="s">
        <v>622</v>
      </c>
      <c r="C87" s="26" t="s">
        <v>45</v>
      </c>
      <c r="D87" s="26" t="s">
        <v>145</v>
      </c>
      <c r="E87" s="29" t="s">
        <v>395</v>
      </c>
      <c r="F87" s="28" t="s">
        <v>396</v>
      </c>
      <c r="G87" s="26" t="s">
        <v>96</v>
      </c>
      <c r="H87" s="26" t="s">
        <v>889</v>
      </c>
      <c r="I87" s="32">
        <f>(Metodologia[[#This Row],[Visites]]*0.15)/MAX(Metodologia[Visites])</f>
        <v>8.0871679831093181E-4</v>
      </c>
      <c r="J87" s="26" t="s">
        <v>584</v>
      </c>
      <c r="K87" s="28" t="s">
        <v>620</v>
      </c>
      <c r="L87" s="28" t="s">
        <v>620</v>
      </c>
      <c r="M87" s="28" t="s">
        <v>620</v>
      </c>
      <c r="N87" s="26" t="s">
        <v>632</v>
      </c>
      <c r="O87" s="47">
        <v>2288</v>
      </c>
      <c r="P87" s="26" t="s">
        <v>1147</v>
      </c>
      <c r="Q87" s="26" t="s">
        <v>54</v>
      </c>
      <c r="R87" s="26" t="s">
        <v>397</v>
      </c>
      <c r="S87" s="26"/>
      <c r="T87" s="26" t="s">
        <v>398</v>
      </c>
      <c r="U87" s="26"/>
      <c r="V87" s="26" t="s">
        <v>399</v>
      </c>
      <c r="W87" s="28" t="s">
        <v>620</v>
      </c>
      <c r="X87" s="28" t="s">
        <v>620</v>
      </c>
      <c r="Y87" s="28" t="s">
        <v>620</v>
      </c>
      <c r="Z87" s="28" t="s">
        <v>620</v>
      </c>
      <c r="AA87" s="28" t="s">
        <v>620</v>
      </c>
      <c r="AB87" s="28" t="s">
        <v>620</v>
      </c>
      <c r="AC87" s="28" t="s">
        <v>620</v>
      </c>
      <c r="AD87" s="28" t="s">
        <v>620</v>
      </c>
      <c r="AE87" s="27" t="s">
        <v>715</v>
      </c>
      <c r="AF87" s="27" t="s">
        <v>716</v>
      </c>
      <c r="AG87" s="27" t="s">
        <v>717</v>
      </c>
      <c r="AH87" s="27" t="s">
        <v>638</v>
      </c>
    </row>
    <row r="88" spans="1:34" ht="22.5" x14ac:dyDescent="0.2">
      <c r="A88" s="28" t="s">
        <v>1003</v>
      </c>
      <c r="B88" s="31" t="s">
        <v>622</v>
      </c>
      <c r="C88" s="26" t="s">
        <v>45</v>
      </c>
      <c r="D88" s="26" t="s">
        <v>145</v>
      </c>
      <c r="E88" s="29" t="s">
        <v>459</v>
      </c>
      <c r="F88" s="28" t="s">
        <v>460</v>
      </c>
      <c r="G88" s="26" t="s">
        <v>96</v>
      </c>
      <c r="H88" s="26" t="s">
        <v>889</v>
      </c>
      <c r="I88" s="32">
        <f>(Metodologia[[#This Row],[Visites]]*0.15)/MAX(Metodologia[Visites])</f>
        <v>6.2385714555017251E-4</v>
      </c>
      <c r="J88" s="26" t="s">
        <v>585</v>
      </c>
      <c r="K88" s="28" t="s">
        <v>620</v>
      </c>
      <c r="L88" s="28" t="s">
        <v>620</v>
      </c>
      <c r="M88" s="28" t="s">
        <v>620</v>
      </c>
      <c r="N88" s="26" t="s">
        <v>632</v>
      </c>
      <c r="O88" s="47">
        <v>1765</v>
      </c>
      <c r="P88" s="26" t="s">
        <v>1142</v>
      </c>
      <c r="Q88" s="26" t="s">
        <v>7</v>
      </c>
      <c r="R88" s="26" t="s">
        <v>461</v>
      </c>
      <c r="S88" s="26"/>
      <c r="T88" s="26"/>
      <c r="U88" s="26"/>
      <c r="V88" s="26" t="s">
        <v>462</v>
      </c>
      <c r="W88" s="28" t="s">
        <v>620</v>
      </c>
      <c r="X88" s="28" t="s">
        <v>620</v>
      </c>
      <c r="Y88" s="28" t="s">
        <v>620</v>
      </c>
      <c r="Z88" s="28" t="s">
        <v>620</v>
      </c>
      <c r="AA88" s="28" t="s">
        <v>620</v>
      </c>
      <c r="AB88" s="28" t="s">
        <v>620</v>
      </c>
      <c r="AC88" s="28" t="s">
        <v>620</v>
      </c>
      <c r="AD88" s="28" t="s">
        <v>620</v>
      </c>
      <c r="AE88" s="27" t="s">
        <v>715</v>
      </c>
      <c r="AF88" s="27" t="s">
        <v>716</v>
      </c>
      <c r="AG88" s="27" t="s">
        <v>717</v>
      </c>
      <c r="AH88" s="27" t="s">
        <v>638</v>
      </c>
    </row>
    <row r="89" spans="1:34" ht="22.5" x14ac:dyDescent="0.2">
      <c r="A89" s="28" t="s">
        <v>1004</v>
      </c>
      <c r="B89" s="31" t="s">
        <v>622</v>
      </c>
      <c r="C89" s="26" t="s">
        <v>45</v>
      </c>
      <c r="D89" s="26" t="s">
        <v>145</v>
      </c>
      <c r="E89" s="29" t="s">
        <v>466</v>
      </c>
      <c r="F89" s="28" t="s">
        <v>467</v>
      </c>
      <c r="G89" s="26" t="s">
        <v>96</v>
      </c>
      <c r="H89" s="26" t="s">
        <v>889</v>
      </c>
      <c r="I89" s="32">
        <f>(Metodologia[[#This Row],[Visites]]*0.15)/MAX(Metodologia[Visites])</f>
        <v>4.6586046336267837E-4</v>
      </c>
      <c r="J89" s="26" t="s">
        <v>585</v>
      </c>
      <c r="K89" s="28" t="s">
        <v>620</v>
      </c>
      <c r="L89" s="28" t="s">
        <v>621</v>
      </c>
      <c r="M89" s="28" t="s">
        <v>620</v>
      </c>
      <c r="N89" s="26" t="s">
        <v>632</v>
      </c>
      <c r="O89" s="47">
        <v>1318</v>
      </c>
      <c r="P89" s="26" t="s">
        <v>1148</v>
      </c>
      <c r="Q89" s="26" t="s">
        <v>54</v>
      </c>
      <c r="R89" s="26" t="s">
        <v>461</v>
      </c>
      <c r="S89" s="26"/>
      <c r="T89" s="26"/>
      <c r="U89" s="26"/>
      <c r="V89" s="26" t="s">
        <v>468</v>
      </c>
      <c r="W89" s="28" t="s">
        <v>620</v>
      </c>
      <c r="X89" s="28" t="s">
        <v>620</v>
      </c>
      <c r="Y89" s="28" t="s">
        <v>620</v>
      </c>
      <c r="Z89" s="28" t="s">
        <v>620</v>
      </c>
      <c r="AA89" s="28" t="s">
        <v>620</v>
      </c>
      <c r="AB89" s="28" t="s">
        <v>620</v>
      </c>
      <c r="AC89" s="28" t="s">
        <v>620</v>
      </c>
      <c r="AD89" s="28" t="s">
        <v>620</v>
      </c>
      <c r="AE89" s="27" t="s">
        <v>715</v>
      </c>
      <c r="AF89" s="27" t="s">
        <v>716</v>
      </c>
      <c r="AG89" s="27" t="s">
        <v>717</v>
      </c>
      <c r="AH89" s="27" t="s">
        <v>638</v>
      </c>
    </row>
    <row r="90" spans="1:34" ht="45" x14ac:dyDescent="0.2">
      <c r="A90" s="28" t="s">
        <v>1005</v>
      </c>
      <c r="B90" s="31" t="s">
        <v>622</v>
      </c>
      <c r="C90" s="26" t="s">
        <v>45</v>
      </c>
      <c r="D90" s="26" t="s">
        <v>145</v>
      </c>
      <c r="E90" s="29" t="s">
        <v>187</v>
      </c>
      <c r="F90" s="28" t="s">
        <v>188</v>
      </c>
      <c r="G90" s="26" t="s">
        <v>96</v>
      </c>
      <c r="H90" s="26" t="s">
        <v>889</v>
      </c>
      <c r="I90" s="32">
        <f>(Metodologia[[#This Row],[Visites]]*0.15)/MAX(Metodologia[Visites])</f>
        <v>2.7393160781948083E-4</v>
      </c>
      <c r="J90" s="26" t="s">
        <v>586</v>
      </c>
      <c r="K90" s="28" t="s">
        <v>620</v>
      </c>
      <c r="L90" s="28" t="s">
        <v>620</v>
      </c>
      <c r="M90" s="28" t="s">
        <v>621</v>
      </c>
      <c r="N90" s="26" t="s">
        <v>637</v>
      </c>
      <c r="O90" s="47">
        <v>775</v>
      </c>
      <c r="P90" s="26" t="s">
        <v>1149</v>
      </c>
      <c r="Q90" s="26" t="s">
        <v>54</v>
      </c>
      <c r="R90" s="26" t="s">
        <v>189</v>
      </c>
      <c r="S90" s="26" t="s">
        <v>1150</v>
      </c>
      <c r="T90" s="26" t="s">
        <v>190</v>
      </c>
      <c r="U90" s="26"/>
      <c r="V90" s="26" t="s">
        <v>191</v>
      </c>
      <c r="W90" s="28" t="s">
        <v>620</v>
      </c>
      <c r="X90" s="28" t="s">
        <v>620</v>
      </c>
      <c r="Y90" s="28" t="s">
        <v>620</v>
      </c>
      <c r="Z90" s="28" t="s">
        <v>620</v>
      </c>
      <c r="AA90" s="28" t="s">
        <v>620</v>
      </c>
      <c r="AB90" s="28" t="s">
        <v>620</v>
      </c>
      <c r="AC90" s="28" t="s">
        <v>620</v>
      </c>
      <c r="AD90" s="28" t="s">
        <v>620</v>
      </c>
      <c r="AE90" s="27" t="s">
        <v>715</v>
      </c>
      <c r="AF90" s="27" t="s">
        <v>716</v>
      </c>
      <c r="AG90" s="27" t="s">
        <v>717</v>
      </c>
      <c r="AH90" s="27" t="s">
        <v>638</v>
      </c>
    </row>
    <row r="91" spans="1:34" ht="22.5" x14ac:dyDescent="0.2">
      <c r="A91" s="28" t="s">
        <v>1006</v>
      </c>
      <c r="B91" s="31" t="s">
        <v>622</v>
      </c>
      <c r="C91" s="26" t="s">
        <v>45</v>
      </c>
      <c r="D91" s="26" t="s">
        <v>145</v>
      </c>
      <c r="E91" s="29" t="s">
        <v>146</v>
      </c>
      <c r="F91" s="28" t="s">
        <v>147</v>
      </c>
      <c r="G91" s="26" t="s">
        <v>96</v>
      </c>
      <c r="H91" s="26" t="s">
        <v>889</v>
      </c>
      <c r="I91" s="32">
        <f>(Metodologia[[#This Row],[Visites]]*0.15)/MAX(Metodologia[Visites])</f>
        <v>3.2306256715742643E-4</v>
      </c>
      <c r="J91" s="26" t="s">
        <v>587</v>
      </c>
      <c r="K91" s="28" t="s">
        <v>620</v>
      </c>
      <c r="L91" s="28" t="s">
        <v>620</v>
      </c>
      <c r="M91" s="28" t="s">
        <v>621</v>
      </c>
      <c r="N91" s="26" t="s">
        <v>637</v>
      </c>
      <c r="O91" s="47">
        <v>914</v>
      </c>
      <c r="P91" s="26" t="s">
        <v>1151</v>
      </c>
      <c r="Q91" s="26" t="s">
        <v>54</v>
      </c>
      <c r="R91" s="26" t="s">
        <v>148</v>
      </c>
      <c r="S91" s="26" t="s">
        <v>1150</v>
      </c>
      <c r="T91" s="26" t="s">
        <v>149</v>
      </c>
      <c r="U91" s="26"/>
      <c r="V91" s="26" t="s">
        <v>150</v>
      </c>
      <c r="W91" s="28" t="s">
        <v>620</v>
      </c>
      <c r="X91" s="28" t="s">
        <v>620</v>
      </c>
      <c r="Y91" s="28" t="s">
        <v>620</v>
      </c>
      <c r="Z91" s="28" t="s">
        <v>620</v>
      </c>
      <c r="AA91" s="28" t="s">
        <v>620</v>
      </c>
      <c r="AB91" s="28" t="s">
        <v>620</v>
      </c>
      <c r="AC91" s="28" t="s">
        <v>620</v>
      </c>
      <c r="AD91" s="28" t="s">
        <v>620</v>
      </c>
      <c r="AE91" s="27" t="s">
        <v>715</v>
      </c>
      <c r="AF91" s="27" t="s">
        <v>716</v>
      </c>
      <c r="AG91" s="27" t="s">
        <v>717</v>
      </c>
      <c r="AH91" s="27" t="s">
        <v>638</v>
      </c>
    </row>
    <row r="92" spans="1:34" ht="45" x14ac:dyDescent="0.2">
      <c r="A92" s="28" t="s">
        <v>1007</v>
      </c>
      <c r="B92" s="31" t="s">
        <v>625</v>
      </c>
      <c r="C92" s="26" t="s">
        <v>45</v>
      </c>
      <c r="D92" s="26" t="s">
        <v>145</v>
      </c>
      <c r="E92" s="29" t="s">
        <v>499</v>
      </c>
      <c r="F92" s="28" t="s">
        <v>500</v>
      </c>
      <c r="G92" s="26" t="s">
        <v>6</v>
      </c>
      <c r="H92" s="26" t="s">
        <v>889</v>
      </c>
      <c r="I92" s="32">
        <f>(Metodologia[[#This Row],[Visites]]*0.15)/MAX(Metodologia[Visites])</f>
        <v>4.0789300054668498E-4</v>
      </c>
      <c r="J92" s="26" t="s">
        <v>588</v>
      </c>
      <c r="K92" s="28" t="s">
        <v>620</v>
      </c>
      <c r="L92" s="28" t="s">
        <v>621</v>
      </c>
      <c r="M92" s="28" t="s">
        <v>621</v>
      </c>
      <c r="N92" s="26" t="s">
        <v>634</v>
      </c>
      <c r="O92" s="47">
        <v>1154</v>
      </c>
      <c r="P92" s="26"/>
      <c r="Q92" s="26" t="s">
        <v>54</v>
      </c>
      <c r="R92" s="26" t="s">
        <v>501</v>
      </c>
      <c r="S92" s="26" t="s">
        <v>1144</v>
      </c>
      <c r="T92" s="26" t="s">
        <v>502</v>
      </c>
      <c r="U92" s="26"/>
      <c r="V92" s="26" t="s">
        <v>503</v>
      </c>
      <c r="W92" s="28" t="s">
        <v>620</v>
      </c>
      <c r="X92" s="28" t="s">
        <v>620</v>
      </c>
      <c r="Y92" s="28" t="s">
        <v>620</v>
      </c>
      <c r="Z92" s="28" t="s">
        <v>620</v>
      </c>
      <c r="AA92" s="28" t="s">
        <v>620</v>
      </c>
      <c r="AB92" s="28" t="s">
        <v>620</v>
      </c>
      <c r="AC92" s="28" t="s">
        <v>620</v>
      </c>
      <c r="AD92" s="28" t="s">
        <v>620</v>
      </c>
      <c r="AE92" s="27" t="s">
        <v>748</v>
      </c>
      <c r="AF92" s="27" t="s">
        <v>749</v>
      </c>
      <c r="AG92" s="27" t="s">
        <v>750</v>
      </c>
      <c r="AH92" s="27" t="s">
        <v>631</v>
      </c>
    </row>
    <row r="93" spans="1:34" ht="45" x14ac:dyDescent="0.2">
      <c r="A93" s="28" t="s">
        <v>1008</v>
      </c>
      <c r="B93" s="31" t="s">
        <v>624</v>
      </c>
      <c r="C93" s="26" t="s">
        <v>45</v>
      </c>
      <c r="D93" s="26" t="s">
        <v>145</v>
      </c>
      <c r="E93" s="29" t="s">
        <v>312</v>
      </c>
      <c r="F93" s="28" t="s">
        <v>313</v>
      </c>
      <c r="G93" s="26" t="s">
        <v>24</v>
      </c>
      <c r="H93" s="26" t="s">
        <v>889</v>
      </c>
      <c r="I93" s="32">
        <f>(Metodologia[[#This Row],[Visites]]*0.15)/MAX(Metodologia[Visites])</f>
        <v>5.6200162120383806E-4</v>
      </c>
      <c r="J93" s="26" t="s">
        <v>589</v>
      </c>
      <c r="K93" s="28" t="s">
        <v>620</v>
      </c>
      <c r="L93" s="28" t="s">
        <v>620</v>
      </c>
      <c r="M93" s="28" t="s">
        <v>621</v>
      </c>
      <c r="N93" s="26" t="s">
        <v>632</v>
      </c>
      <c r="O93" s="47">
        <v>1590</v>
      </c>
      <c r="P93" s="26"/>
      <c r="Q93" s="26" t="s">
        <v>7</v>
      </c>
      <c r="R93" s="26" t="s">
        <v>314</v>
      </c>
      <c r="S93" s="26" t="s">
        <v>1144</v>
      </c>
      <c r="T93" s="26" t="s">
        <v>315</v>
      </c>
      <c r="U93" s="26"/>
      <c r="V93" s="26" t="s">
        <v>316</v>
      </c>
      <c r="W93" s="28" t="s">
        <v>620</v>
      </c>
      <c r="X93" s="28" t="s">
        <v>620</v>
      </c>
      <c r="Y93" s="28" t="s">
        <v>620</v>
      </c>
      <c r="Z93" s="28" t="s">
        <v>620</v>
      </c>
      <c r="AA93" s="28" t="s">
        <v>620</v>
      </c>
      <c r="AB93" s="28" t="s">
        <v>620</v>
      </c>
      <c r="AC93" s="28" t="s">
        <v>620</v>
      </c>
      <c r="AD93" s="28" t="s">
        <v>620</v>
      </c>
      <c r="AE93" s="27" t="s">
        <v>751</v>
      </c>
      <c r="AF93" s="27" t="s">
        <v>752</v>
      </c>
      <c r="AG93" s="27" t="s">
        <v>669</v>
      </c>
      <c r="AH93" s="27" t="s">
        <v>631</v>
      </c>
    </row>
    <row r="94" spans="1:34" ht="56.25" x14ac:dyDescent="0.2">
      <c r="A94" s="28" t="s">
        <v>1009</v>
      </c>
      <c r="B94" s="31" t="s">
        <v>624</v>
      </c>
      <c r="C94" s="26" t="s">
        <v>45</v>
      </c>
      <c r="D94" s="26" t="s">
        <v>145</v>
      </c>
      <c r="E94" s="29" t="s">
        <v>407</v>
      </c>
      <c r="F94" s="28" t="s">
        <v>408</v>
      </c>
      <c r="G94" s="26" t="s">
        <v>24</v>
      </c>
      <c r="H94" s="26" t="s">
        <v>897</v>
      </c>
      <c r="I94" s="32">
        <f>(Metodologia[[#This Row],[Visites]]*0.15)/MAX(Metodologia[Visites])</f>
        <v>3.393217335570343E-4</v>
      </c>
      <c r="J94" s="26" t="s">
        <v>590</v>
      </c>
      <c r="K94" s="28" t="s">
        <v>620</v>
      </c>
      <c r="L94" s="28" t="s">
        <v>620</v>
      </c>
      <c r="M94" s="28" t="s">
        <v>621</v>
      </c>
      <c r="N94" s="26" t="s">
        <v>632</v>
      </c>
      <c r="O94" s="47">
        <v>960</v>
      </c>
      <c r="P94" s="26"/>
      <c r="Q94" s="26" t="s">
        <v>54</v>
      </c>
      <c r="R94" s="26" t="s">
        <v>409</v>
      </c>
      <c r="S94" s="26"/>
      <c r="T94" s="26" t="s">
        <v>410</v>
      </c>
      <c r="U94" s="26"/>
      <c r="V94" s="26" t="s">
        <v>411</v>
      </c>
      <c r="W94" s="28" t="s">
        <v>620</v>
      </c>
      <c r="X94" s="28" t="s">
        <v>620</v>
      </c>
      <c r="Y94" s="28" t="s">
        <v>620</v>
      </c>
      <c r="Z94" s="28" t="s">
        <v>620</v>
      </c>
      <c r="AA94" s="28" t="s">
        <v>620</v>
      </c>
      <c r="AB94" s="28" t="s">
        <v>620</v>
      </c>
      <c r="AC94" s="28" t="s">
        <v>620</v>
      </c>
      <c r="AD94" s="28" t="s">
        <v>620</v>
      </c>
      <c r="AE94" s="27" t="s">
        <v>753</v>
      </c>
      <c r="AF94" s="27" t="s">
        <v>754</v>
      </c>
      <c r="AG94" s="27" t="s">
        <v>669</v>
      </c>
      <c r="AH94" s="27" t="s">
        <v>631</v>
      </c>
    </row>
    <row r="95" spans="1:34" ht="33.75" x14ac:dyDescent="0.2">
      <c r="A95" s="28" t="s">
        <v>1010</v>
      </c>
      <c r="B95" s="31" t="s">
        <v>622</v>
      </c>
      <c r="C95" s="26" t="s">
        <v>45</v>
      </c>
      <c r="D95" s="26" t="s">
        <v>46</v>
      </c>
      <c r="E95" s="29" t="s">
        <v>157</v>
      </c>
      <c r="F95" s="28" t="s">
        <v>158</v>
      </c>
      <c r="G95" s="26" t="s">
        <v>20</v>
      </c>
      <c r="H95" s="26" t="s">
        <v>889</v>
      </c>
      <c r="I95" s="32">
        <f>(Metodologia[[#This Row],[Visites]]*0.15)/MAX(Metodologia[Visites])</f>
        <v>4.3337747657737477E-3</v>
      </c>
      <c r="J95" s="26" t="s">
        <v>591</v>
      </c>
      <c r="K95" s="28" t="s">
        <v>620</v>
      </c>
      <c r="L95" s="28" t="s">
        <v>620</v>
      </c>
      <c r="M95" s="28" t="s">
        <v>620</v>
      </c>
      <c r="N95" s="26" t="s">
        <v>632</v>
      </c>
      <c r="O95" s="47">
        <v>12261</v>
      </c>
      <c r="P95" s="26" t="s">
        <v>1152</v>
      </c>
      <c r="Q95" s="26" t="s">
        <v>7</v>
      </c>
      <c r="R95" s="26" t="s">
        <v>159</v>
      </c>
      <c r="S95" s="26" t="s">
        <v>1153</v>
      </c>
      <c r="T95" s="26" t="s">
        <v>161</v>
      </c>
      <c r="U95" s="26"/>
      <c r="V95" s="26" t="s">
        <v>162</v>
      </c>
      <c r="W95" s="28" t="s">
        <v>620</v>
      </c>
      <c r="X95" s="28" t="s">
        <v>620</v>
      </c>
      <c r="Y95" s="28" t="s">
        <v>620</v>
      </c>
      <c r="Z95" s="28" t="s">
        <v>620</v>
      </c>
      <c r="AA95" s="28" t="s">
        <v>620</v>
      </c>
      <c r="AB95" s="28" t="s">
        <v>620</v>
      </c>
      <c r="AC95" s="28" t="s">
        <v>620</v>
      </c>
      <c r="AD95" s="28" t="s">
        <v>620</v>
      </c>
      <c r="AE95" s="27" t="s">
        <v>688</v>
      </c>
      <c r="AF95" s="27" t="s">
        <v>741</v>
      </c>
      <c r="AG95" s="27" t="s">
        <v>672</v>
      </c>
      <c r="AH95" s="27" t="s">
        <v>631</v>
      </c>
    </row>
    <row r="96" spans="1:34" ht="33.75" x14ac:dyDescent="0.2">
      <c r="A96" s="28" t="s">
        <v>1011</v>
      </c>
      <c r="B96" s="31" t="s">
        <v>622</v>
      </c>
      <c r="C96" s="26" t="s">
        <v>45</v>
      </c>
      <c r="D96" s="26" t="s">
        <v>46</v>
      </c>
      <c r="E96" s="29" t="s">
        <v>163</v>
      </c>
      <c r="F96" s="28" t="s">
        <v>164</v>
      </c>
      <c r="G96" s="26" t="s">
        <v>96</v>
      </c>
      <c r="H96" s="26" t="s">
        <v>889</v>
      </c>
      <c r="I96" s="32">
        <f>(Metodologia[[#This Row],[Visites]]*0.15)/MAX(Metodologia[Visites])</f>
        <v>8.4512319264048856E-4</v>
      </c>
      <c r="J96" s="26" t="s">
        <v>592</v>
      </c>
      <c r="K96" s="28" t="s">
        <v>620</v>
      </c>
      <c r="L96" s="28" t="s">
        <v>620</v>
      </c>
      <c r="M96" s="28" t="s">
        <v>621</v>
      </c>
      <c r="N96" s="26" t="s">
        <v>632</v>
      </c>
      <c r="O96" s="47">
        <v>2391</v>
      </c>
      <c r="P96" s="26" t="s">
        <v>1154</v>
      </c>
      <c r="Q96" s="26" t="s">
        <v>54</v>
      </c>
      <c r="R96" s="26" t="s">
        <v>165</v>
      </c>
      <c r="S96" s="26" t="s">
        <v>1153</v>
      </c>
      <c r="T96" s="26"/>
      <c r="U96" s="26"/>
      <c r="V96" s="26" t="s">
        <v>166</v>
      </c>
      <c r="W96" s="28" t="s">
        <v>620</v>
      </c>
      <c r="X96" s="28" t="s">
        <v>621</v>
      </c>
      <c r="Y96" s="28" t="s">
        <v>621</v>
      </c>
      <c r="Z96" s="28" t="s">
        <v>621</v>
      </c>
      <c r="AA96" s="28" t="s">
        <v>621</v>
      </c>
      <c r="AB96" s="28" t="s">
        <v>621</v>
      </c>
      <c r="AC96" s="28" t="s">
        <v>621</v>
      </c>
      <c r="AD96" s="28" t="s">
        <v>620</v>
      </c>
      <c r="AE96" s="27" t="s">
        <v>715</v>
      </c>
      <c r="AF96" s="27" t="s">
        <v>716</v>
      </c>
      <c r="AG96" s="27" t="s">
        <v>717</v>
      </c>
      <c r="AH96" s="27" t="s">
        <v>638</v>
      </c>
    </row>
    <row r="97" spans="1:34" ht="22.5" x14ac:dyDescent="0.2">
      <c r="A97" s="28" t="s">
        <v>1012</v>
      </c>
      <c r="B97" s="31" t="s">
        <v>625</v>
      </c>
      <c r="C97" s="26" t="s">
        <v>45</v>
      </c>
      <c r="D97" s="26" t="s">
        <v>46</v>
      </c>
      <c r="E97" s="29" t="s">
        <v>287</v>
      </c>
      <c r="F97" s="28" t="s">
        <v>288</v>
      </c>
      <c r="G97" s="26" t="s">
        <v>6</v>
      </c>
      <c r="H97" s="26" t="s">
        <v>889</v>
      </c>
      <c r="I97" s="32">
        <f>(Metodologia[[#This Row],[Visites]]*0.15)/MAX(Metodologia[Visites])</f>
        <v>3.1457952381850056E-4</v>
      </c>
      <c r="J97" s="26" t="s">
        <v>593</v>
      </c>
      <c r="K97" s="28" t="s">
        <v>620</v>
      </c>
      <c r="L97" s="28" t="s">
        <v>621</v>
      </c>
      <c r="M97" s="28" t="s">
        <v>621</v>
      </c>
      <c r="N97" s="26" t="s">
        <v>632</v>
      </c>
      <c r="O97" s="47">
        <v>890</v>
      </c>
      <c r="P97" s="26"/>
      <c r="Q97" s="26" t="s">
        <v>54</v>
      </c>
      <c r="R97" s="26" t="s">
        <v>289</v>
      </c>
      <c r="S97" s="26"/>
      <c r="T97" s="26"/>
      <c r="U97" s="26"/>
      <c r="V97" s="26" t="s">
        <v>290</v>
      </c>
      <c r="W97" s="28" t="s">
        <v>620</v>
      </c>
      <c r="X97" s="28" t="s">
        <v>620</v>
      </c>
      <c r="Y97" s="28" t="s">
        <v>620</v>
      </c>
      <c r="Z97" s="28" t="s">
        <v>620</v>
      </c>
      <c r="AA97" s="28" t="s">
        <v>620</v>
      </c>
      <c r="AB97" s="28" t="s">
        <v>620</v>
      </c>
      <c r="AC97" s="28" t="s">
        <v>620</v>
      </c>
      <c r="AD97" s="28" t="s">
        <v>620</v>
      </c>
      <c r="AE97" s="27" t="s">
        <v>755</v>
      </c>
      <c r="AF97" s="27" t="s">
        <v>756</v>
      </c>
      <c r="AG97" s="27" t="s">
        <v>757</v>
      </c>
      <c r="AH97" s="27" t="s">
        <v>631</v>
      </c>
    </row>
    <row r="98" spans="1:34" ht="22.5" x14ac:dyDescent="0.2">
      <c r="A98" s="28" t="s">
        <v>1013</v>
      </c>
      <c r="B98" s="31" t="s">
        <v>622</v>
      </c>
      <c r="C98" s="26" t="s">
        <v>45</v>
      </c>
      <c r="D98" s="26" t="s">
        <v>46</v>
      </c>
      <c r="E98" s="29" t="s">
        <v>179</v>
      </c>
      <c r="F98" s="28" t="s">
        <v>180</v>
      </c>
      <c r="G98" s="26" t="s">
        <v>20</v>
      </c>
      <c r="H98" s="26" t="s">
        <v>889</v>
      </c>
      <c r="I98" s="32">
        <f>(Metodologia[[#This Row],[Visites]]*0.15)/MAX(Metodologia[Visites])</f>
        <v>1.0903184911493582E-2</v>
      </c>
      <c r="J98" s="26" t="s">
        <v>594</v>
      </c>
      <c r="K98" s="28" t="s">
        <v>620</v>
      </c>
      <c r="L98" s="28" t="s">
        <v>620</v>
      </c>
      <c r="M98" s="28" t="s">
        <v>620</v>
      </c>
      <c r="N98" s="26" t="s">
        <v>632</v>
      </c>
      <c r="O98" s="47">
        <v>30847</v>
      </c>
      <c r="P98" s="26" t="s">
        <v>1155</v>
      </c>
      <c r="Q98" s="26" t="s">
        <v>32</v>
      </c>
      <c r="R98" s="26" t="s">
        <v>181</v>
      </c>
      <c r="S98" s="26"/>
      <c r="T98" s="26"/>
      <c r="U98" s="26"/>
      <c r="V98" s="26" t="s">
        <v>182</v>
      </c>
      <c r="W98" s="28" t="s">
        <v>620</v>
      </c>
      <c r="X98" s="28" t="s">
        <v>620</v>
      </c>
      <c r="Y98" s="28" t="s">
        <v>620</v>
      </c>
      <c r="Z98" s="28" t="s">
        <v>621</v>
      </c>
      <c r="AA98" s="28" t="s">
        <v>621</v>
      </c>
      <c r="AB98" s="28" t="s">
        <v>620</v>
      </c>
      <c r="AC98" s="28" t="s">
        <v>620</v>
      </c>
      <c r="AD98" s="28" t="s">
        <v>620</v>
      </c>
      <c r="AE98" s="27" t="s">
        <v>758</v>
      </c>
      <c r="AF98" s="27" t="s">
        <v>759</v>
      </c>
      <c r="AG98" s="27" t="s">
        <v>672</v>
      </c>
      <c r="AH98" s="27" t="s">
        <v>631</v>
      </c>
    </row>
    <row r="99" spans="1:34" ht="22.5" x14ac:dyDescent="0.2">
      <c r="A99" s="28" t="s">
        <v>1014</v>
      </c>
      <c r="B99" s="31" t="s">
        <v>622</v>
      </c>
      <c r="C99" s="26" t="s">
        <v>45</v>
      </c>
      <c r="D99" s="26" t="s">
        <v>46</v>
      </c>
      <c r="E99" s="29" t="s">
        <v>540</v>
      </c>
      <c r="F99" s="28" t="s">
        <v>541</v>
      </c>
      <c r="G99" s="26" t="s">
        <v>20</v>
      </c>
      <c r="H99" s="26" t="s">
        <v>889</v>
      </c>
      <c r="I99" s="32">
        <f>(Metodologia[[#This Row],[Visites]]*0.15)/MAX(Metodologia[Visites])</f>
        <v>4.0923614907534831E-3</v>
      </c>
      <c r="J99" s="26" t="s">
        <v>594</v>
      </c>
      <c r="K99" s="28" t="s">
        <v>620</v>
      </c>
      <c r="L99" s="28" t="s">
        <v>621</v>
      </c>
      <c r="M99" s="28" t="s">
        <v>620</v>
      </c>
      <c r="N99" s="26" t="s">
        <v>632</v>
      </c>
      <c r="O99" s="47">
        <v>11578</v>
      </c>
      <c r="P99" s="26" t="s">
        <v>1156</v>
      </c>
      <c r="Q99" s="26" t="s">
        <v>32</v>
      </c>
      <c r="R99" s="26" t="s">
        <v>49</v>
      </c>
      <c r="S99" s="26" t="s">
        <v>1157</v>
      </c>
      <c r="T99" s="26"/>
      <c r="U99" s="26"/>
      <c r="V99" s="26" t="s">
        <v>542</v>
      </c>
      <c r="W99" s="28" t="s">
        <v>620</v>
      </c>
      <c r="X99" s="28" t="s">
        <v>620</v>
      </c>
      <c r="Y99" s="28" t="s">
        <v>620</v>
      </c>
      <c r="Z99" s="28" t="s">
        <v>621</v>
      </c>
      <c r="AA99" s="28" t="s">
        <v>621</v>
      </c>
      <c r="AB99" s="28" t="s">
        <v>620</v>
      </c>
      <c r="AC99" s="28" t="s">
        <v>620</v>
      </c>
      <c r="AD99" s="28" t="s">
        <v>620</v>
      </c>
      <c r="AE99" s="27" t="s">
        <v>758</v>
      </c>
      <c r="AF99" s="27" t="s">
        <v>759</v>
      </c>
      <c r="AG99" s="27" t="s">
        <v>672</v>
      </c>
      <c r="AH99" s="27" t="s">
        <v>631</v>
      </c>
    </row>
    <row r="100" spans="1:34" ht="22.5" x14ac:dyDescent="0.2">
      <c r="A100" s="28" t="s">
        <v>1015</v>
      </c>
      <c r="B100" s="31" t="s">
        <v>622</v>
      </c>
      <c r="C100" s="26" t="s">
        <v>45</v>
      </c>
      <c r="D100" s="26" t="s">
        <v>46</v>
      </c>
      <c r="E100" s="29" t="s">
        <v>47</v>
      </c>
      <c r="F100" s="28" t="s">
        <v>48</v>
      </c>
      <c r="G100" s="26" t="s">
        <v>20</v>
      </c>
      <c r="H100" s="26" t="s">
        <v>889</v>
      </c>
      <c r="I100" s="32">
        <f>(Metodologia[[#This Row],[Visites]]*0.15)/MAX(Metodologia[Visites])</f>
        <v>1.4385827662261768E-3</v>
      </c>
      <c r="J100" s="26" t="s">
        <v>594</v>
      </c>
      <c r="K100" s="28" t="s">
        <v>620</v>
      </c>
      <c r="L100" s="28" t="s">
        <v>620</v>
      </c>
      <c r="M100" s="28" t="s">
        <v>620</v>
      </c>
      <c r="N100" s="26" t="s">
        <v>634</v>
      </c>
      <c r="O100" s="47">
        <v>4070</v>
      </c>
      <c r="P100" s="26" t="s">
        <v>1156</v>
      </c>
      <c r="Q100" s="26" t="s">
        <v>32</v>
      </c>
      <c r="R100" s="26" t="s">
        <v>49</v>
      </c>
      <c r="S100" s="26" t="s">
        <v>1157</v>
      </c>
      <c r="T100" s="26"/>
      <c r="U100" s="26"/>
      <c r="V100" s="26" t="s">
        <v>50</v>
      </c>
      <c r="W100" s="28" t="s">
        <v>620</v>
      </c>
      <c r="X100" s="28" t="s">
        <v>620</v>
      </c>
      <c r="Y100" s="28" t="s">
        <v>620</v>
      </c>
      <c r="Z100" s="28" t="s">
        <v>621</v>
      </c>
      <c r="AA100" s="28" t="s">
        <v>621</v>
      </c>
      <c r="AB100" s="28" t="s">
        <v>620</v>
      </c>
      <c r="AC100" s="28" t="s">
        <v>620</v>
      </c>
      <c r="AD100" s="28" t="s">
        <v>620</v>
      </c>
      <c r="AE100" s="27" t="s">
        <v>758</v>
      </c>
      <c r="AF100" s="27" t="s">
        <v>759</v>
      </c>
      <c r="AG100" s="27" t="s">
        <v>672</v>
      </c>
      <c r="AH100" s="27" t="s">
        <v>631</v>
      </c>
    </row>
    <row r="101" spans="1:34" ht="45" x14ac:dyDescent="0.2">
      <c r="A101" s="28" t="s">
        <v>1016</v>
      </c>
      <c r="B101" s="31" t="s">
        <v>625</v>
      </c>
      <c r="C101" s="26" t="s">
        <v>45</v>
      </c>
      <c r="D101" s="26" t="s">
        <v>46</v>
      </c>
      <c r="E101" s="29" t="s">
        <v>1107</v>
      </c>
      <c r="F101" s="28" t="s">
        <v>528</v>
      </c>
      <c r="G101" s="26" t="s">
        <v>6</v>
      </c>
      <c r="H101" s="26" t="s">
        <v>898</v>
      </c>
      <c r="I101" s="32">
        <f>(Metodologia[[#This Row],[Visites]]*0.15)/MAX(Metodologia[Visites])</f>
        <v>1.9652383735178236E-4</v>
      </c>
      <c r="J101" s="26"/>
      <c r="K101" s="28" t="s">
        <v>620</v>
      </c>
      <c r="L101" s="28" t="s">
        <v>620</v>
      </c>
      <c r="M101" s="28" t="s">
        <v>621</v>
      </c>
      <c r="N101" s="26" t="s">
        <v>632</v>
      </c>
      <c r="O101" s="47">
        <v>556</v>
      </c>
      <c r="P101" s="26"/>
      <c r="Q101" s="26" t="s">
        <v>7</v>
      </c>
      <c r="R101" s="26" t="s">
        <v>529</v>
      </c>
      <c r="S101" s="26"/>
      <c r="T101" s="26"/>
      <c r="U101" s="26"/>
      <c r="V101" s="26" t="s">
        <v>530</v>
      </c>
      <c r="W101" s="28" t="s">
        <v>620</v>
      </c>
      <c r="X101" s="28" t="s">
        <v>620</v>
      </c>
      <c r="Y101" s="28" t="s">
        <v>620</v>
      </c>
      <c r="Z101" s="28" t="s">
        <v>620</v>
      </c>
      <c r="AA101" s="28" t="s">
        <v>620</v>
      </c>
      <c r="AB101" s="28" t="s">
        <v>620</v>
      </c>
      <c r="AC101" s="28" t="s">
        <v>620</v>
      </c>
      <c r="AD101" s="28" t="s">
        <v>620</v>
      </c>
      <c r="AE101" s="27" t="s">
        <v>760</v>
      </c>
      <c r="AF101" s="27" t="s">
        <v>761</v>
      </c>
      <c r="AG101" s="27" t="s">
        <v>750</v>
      </c>
      <c r="AH101" s="27" t="s">
        <v>631</v>
      </c>
    </row>
    <row r="102" spans="1:34" ht="22.5" x14ac:dyDescent="0.2">
      <c r="A102" s="28" t="s">
        <v>1017</v>
      </c>
      <c r="B102" s="31" t="s">
        <v>622</v>
      </c>
      <c r="C102" s="26" t="s">
        <v>70</v>
      </c>
      <c r="D102" s="26" t="s">
        <v>133</v>
      </c>
      <c r="E102" s="29" t="s">
        <v>133</v>
      </c>
      <c r="F102" s="28" t="s">
        <v>438</v>
      </c>
      <c r="G102" s="26" t="s">
        <v>20</v>
      </c>
      <c r="H102" s="26" t="s">
        <v>889</v>
      </c>
      <c r="I102" s="32">
        <f>(Metodologia[[#This Row],[Visites]]*0.15)/MAX(Metodologia[Visites])</f>
        <v>1.4020349878409711E-2</v>
      </c>
      <c r="J102" s="26" t="s">
        <v>595</v>
      </c>
      <c r="K102" s="28" t="s">
        <v>620</v>
      </c>
      <c r="L102" s="28" t="s">
        <v>620</v>
      </c>
      <c r="M102" s="28" t="s">
        <v>620</v>
      </c>
      <c r="N102" s="26" t="s">
        <v>632</v>
      </c>
      <c r="O102" s="47">
        <v>39666</v>
      </c>
      <c r="P102" s="26" t="s">
        <v>1158</v>
      </c>
      <c r="Q102" s="26" t="s">
        <v>54</v>
      </c>
      <c r="R102" s="26" t="s">
        <v>136</v>
      </c>
      <c r="S102" s="26" t="s">
        <v>1159</v>
      </c>
      <c r="T102" s="26"/>
      <c r="U102" s="26"/>
      <c r="V102" s="26" t="s">
        <v>439</v>
      </c>
      <c r="W102" s="28" t="s">
        <v>620</v>
      </c>
      <c r="X102" s="28" t="s">
        <v>620</v>
      </c>
      <c r="Y102" s="28" t="s">
        <v>620</v>
      </c>
      <c r="Z102" s="28" t="s">
        <v>620</v>
      </c>
      <c r="AA102" s="28" t="s">
        <v>620</v>
      </c>
      <c r="AB102" s="28" t="s">
        <v>620</v>
      </c>
      <c r="AC102" s="28" t="s">
        <v>620</v>
      </c>
      <c r="AD102" s="28" t="s">
        <v>620</v>
      </c>
      <c r="AE102" s="27" t="s">
        <v>762</v>
      </c>
      <c r="AF102" s="27" t="s">
        <v>759</v>
      </c>
      <c r="AG102" s="27" t="s">
        <v>763</v>
      </c>
      <c r="AH102" s="27" t="s">
        <v>631</v>
      </c>
    </row>
    <row r="103" spans="1:34" ht="112.5" x14ac:dyDescent="0.2">
      <c r="A103" s="28" t="s">
        <v>1018</v>
      </c>
      <c r="B103" s="31" t="s">
        <v>624</v>
      </c>
      <c r="C103" s="26" t="s">
        <v>70</v>
      </c>
      <c r="D103" s="26" t="s">
        <v>133</v>
      </c>
      <c r="E103" s="29" t="s">
        <v>238</v>
      </c>
      <c r="F103" s="28" t="s">
        <v>239</v>
      </c>
      <c r="G103" s="26" t="s">
        <v>24</v>
      </c>
      <c r="H103" s="26" t="s">
        <v>899</v>
      </c>
      <c r="I103" s="32">
        <f>(Metodologia[[#This Row],[Visites]]*0.15)/MAX(Metodologia[Visites])</f>
        <v>2.0521895677418139E-3</v>
      </c>
      <c r="J103" s="26" t="s">
        <v>629</v>
      </c>
      <c r="K103" s="28" t="s">
        <v>620</v>
      </c>
      <c r="L103" s="28" t="s">
        <v>620</v>
      </c>
      <c r="M103" s="28" t="s">
        <v>620</v>
      </c>
      <c r="N103" s="26" t="s">
        <v>941</v>
      </c>
      <c r="O103" s="47">
        <v>5806</v>
      </c>
      <c r="P103" s="26"/>
      <c r="Q103" s="26" t="s">
        <v>7</v>
      </c>
      <c r="R103" s="26" t="s">
        <v>136</v>
      </c>
      <c r="S103" s="26" t="s">
        <v>1159</v>
      </c>
      <c r="T103" s="26"/>
      <c r="U103" s="26"/>
      <c r="V103" s="26" t="s">
        <v>240</v>
      </c>
      <c r="W103" s="28" t="s">
        <v>620</v>
      </c>
      <c r="X103" s="28" t="s">
        <v>620</v>
      </c>
      <c r="Y103" s="28" t="s">
        <v>620</v>
      </c>
      <c r="Z103" s="28" t="s">
        <v>620</v>
      </c>
      <c r="AA103" s="28" t="s">
        <v>620</v>
      </c>
      <c r="AB103" s="28" t="s">
        <v>620</v>
      </c>
      <c r="AC103" s="28" t="s">
        <v>620</v>
      </c>
      <c r="AD103" s="28" t="s">
        <v>620</v>
      </c>
      <c r="AE103" s="27" t="s">
        <v>764</v>
      </c>
      <c r="AF103" s="27" t="s">
        <v>765</v>
      </c>
      <c r="AG103" s="27" t="s">
        <v>669</v>
      </c>
      <c r="AH103" s="27" t="s">
        <v>631</v>
      </c>
    </row>
    <row r="104" spans="1:34" ht="45" x14ac:dyDescent="0.2">
      <c r="A104" s="28" t="s">
        <v>1019</v>
      </c>
      <c r="B104" s="31" t="s">
        <v>622</v>
      </c>
      <c r="C104" s="26" t="s">
        <v>70</v>
      </c>
      <c r="D104" s="26" t="s">
        <v>133</v>
      </c>
      <c r="E104" s="29" t="s">
        <v>342</v>
      </c>
      <c r="F104" s="28" t="s">
        <v>343</v>
      </c>
      <c r="G104" s="26" t="s">
        <v>20</v>
      </c>
      <c r="H104" s="26" t="s">
        <v>900</v>
      </c>
      <c r="I104" s="32">
        <f>(Metodologia[[#This Row],[Visites]]*0.15)/MAX(Metodologia[Visites])</f>
        <v>5.3948621034177234E-3</v>
      </c>
      <c r="J104" s="26" t="s">
        <v>627</v>
      </c>
      <c r="K104" s="28" t="s">
        <v>620</v>
      </c>
      <c r="L104" s="28" t="s">
        <v>621</v>
      </c>
      <c r="M104" s="28" t="s">
        <v>620</v>
      </c>
      <c r="N104" s="26" t="s">
        <v>632</v>
      </c>
      <c r="O104" s="47">
        <v>15263</v>
      </c>
      <c r="P104" s="26" t="s">
        <v>1123</v>
      </c>
      <c r="Q104" s="26" t="s">
        <v>54</v>
      </c>
      <c r="R104" s="26" t="s">
        <v>136</v>
      </c>
      <c r="S104" s="26"/>
      <c r="T104" s="26"/>
      <c r="U104" s="26"/>
      <c r="V104" s="26" t="s">
        <v>344</v>
      </c>
      <c r="W104" s="28" t="s">
        <v>620</v>
      </c>
      <c r="X104" s="28" t="s">
        <v>620</v>
      </c>
      <c r="Y104" s="28" t="s">
        <v>620</v>
      </c>
      <c r="Z104" s="28" t="s">
        <v>620</v>
      </c>
      <c r="AA104" s="28" t="s">
        <v>620</v>
      </c>
      <c r="AB104" s="28" t="s">
        <v>620</v>
      </c>
      <c r="AC104" s="28" t="s">
        <v>620</v>
      </c>
      <c r="AD104" s="28" t="s">
        <v>620</v>
      </c>
      <c r="AE104" s="27" t="s">
        <v>762</v>
      </c>
      <c r="AF104" s="27" t="s">
        <v>759</v>
      </c>
      <c r="AG104" s="27" t="s">
        <v>672</v>
      </c>
      <c r="AH104" s="27" t="s">
        <v>631</v>
      </c>
    </row>
    <row r="105" spans="1:34" ht="22.5" x14ac:dyDescent="0.2">
      <c r="A105" s="28" t="s">
        <v>1020</v>
      </c>
      <c r="B105" s="31" t="s">
        <v>622</v>
      </c>
      <c r="C105" s="26" t="s">
        <v>70</v>
      </c>
      <c r="D105" s="26" t="s">
        <v>133</v>
      </c>
      <c r="E105" s="29" t="s">
        <v>138</v>
      </c>
      <c r="F105" s="28" t="s">
        <v>139</v>
      </c>
      <c r="G105" s="26" t="s">
        <v>96</v>
      </c>
      <c r="H105" s="26" t="s">
        <v>889</v>
      </c>
      <c r="I105" s="32">
        <f>(Metodologia[[#This Row],[Visites]]*0.15)/MAX(Metodologia[Visites])</f>
        <v>2.32718155597866E-3</v>
      </c>
      <c r="J105" s="26" t="s">
        <v>628</v>
      </c>
      <c r="K105" s="28" t="s">
        <v>620</v>
      </c>
      <c r="L105" s="28" t="s">
        <v>621</v>
      </c>
      <c r="M105" s="28" t="s">
        <v>620</v>
      </c>
      <c r="N105" s="26" t="s">
        <v>632</v>
      </c>
      <c r="O105" s="47">
        <v>6584</v>
      </c>
      <c r="P105" s="26" t="s">
        <v>1160</v>
      </c>
      <c r="Q105" s="26" t="s">
        <v>54</v>
      </c>
      <c r="R105" s="26" t="s">
        <v>73</v>
      </c>
      <c r="S105" s="26" t="s">
        <v>1161</v>
      </c>
      <c r="T105" s="26"/>
      <c r="U105" s="26"/>
      <c r="V105" s="26" t="s">
        <v>140</v>
      </c>
      <c r="W105" s="28" t="s">
        <v>620</v>
      </c>
      <c r="X105" s="28" t="s">
        <v>620</v>
      </c>
      <c r="Y105" s="28" t="s">
        <v>620</v>
      </c>
      <c r="Z105" s="28" t="s">
        <v>620</v>
      </c>
      <c r="AA105" s="28" t="s">
        <v>620</v>
      </c>
      <c r="AB105" s="28" t="s">
        <v>620</v>
      </c>
      <c r="AC105" s="28" t="s">
        <v>620</v>
      </c>
      <c r="AD105" s="28" t="s">
        <v>620</v>
      </c>
      <c r="AE105" s="27" t="s">
        <v>715</v>
      </c>
      <c r="AF105" s="27" t="s">
        <v>716</v>
      </c>
      <c r="AG105" s="27" t="s">
        <v>717</v>
      </c>
      <c r="AH105" s="27" t="s">
        <v>638</v>
      </c>
    </row>
    <row r="106" spans="1:34" ht="78.75" x14ac:dyDescent="0.2">
      <c r="A106" s="28" t="s">
        <v>1021</v>
      </c>
      <c r="B106" s="31" t="s">
        <v>622</v>
      </c>
      <c r="C106" s="26" t="s">
        <v>70</v>
      </c>
      <c r="D106" s="26" t="s">
        <v>133</v>
      </c>
      <c r="E106" s="29" t="s">
        <v>354</v>
      </c>
      <c r="F106" s="28" t="s">
        <v>355</v>
      </c>
      <c r="G106" s="26" t="s">
        <v>20</v>
      </c>
      <c r="H106" s="26" t="s">
        <v>901</v>
      </c>
      <c r="I106" s="32">
        <f>(Metodologia[[#This Row],[Visites]]*0.15)/MAX(Metodologia[Visites])</f>
        <v>1.3374931664373103E-3</v>
      </c>
      <c r="J106" s="26" t="s">
        <v>596</v>
      </c>
      <c r="K106" s="28" t="s">
        <v>620</v>
      </c>
      <c r="L106" s="28" t="s">
        <v>621</v>
      </c>
      <c r="M106" s="28" t="s">
        <v>621</v>
      </c>
      <c r="N106" s="26" t="s">
        <v>632</v>
      </c>
      <c r="O106" s="47">
        <v>3784</v>
      </c>
      <c r="P106" s="26" t="s">
        <v>1123</v>
      </c>
      <c r="Q106" s="26" t="s">
        <v>54</v>
      </c>
      <c r="R106" s="26" t="s">
        <v>136</v>
      </c>
      <c r="S106" s="26"/>
      <c r="T106" s="26"/>
      <c r="U106" s="26"/>
      <c r="V106" s="26" t="s">
        <v>356</v>
      </c>
      <c r="W106" s="28" t="s">
        <v>620</v>
      </c>
      <c r="X106" s="28" t="s">
        <v>620</v>
      </c>
      <c r="Y106" s="28" t="s">
        <v>620</v>
      </c>
      <c r="Z106" s="28" t="s">
        <v>620</v>
      </c>
      <c r="AA106" s="28" t="s">
        <v>620</v>
      </c>
      <c r="AB106" s="28" t="s">
        <v>620</v>
      </c>
      <c r="AC106" s="28" t="s">
        <v>620</v>
      </c>
      <c r="AD106" s="28" t="s">
        <v>620</v>
      </c>
      <c r="AE106" s="27" t="s">
        <v>762</v>
      </c>
      <c r="AF106" s="27" t="s">
        <v>759</v>
      </c>
      <c r="AG106" s="27" t="s">
        <v>672</v>
      </c>
      <c r="AH106" s="27" t="s">
        <v>631</v>
      </c>
    </row>
    <row r="107" spans="1:34" ht="78.75" x14ac:dyDescent="0.2">
      <c r="A107" s="28" t="s">
        <v>1022</v>
      </c>
      <c r="B107" s="31" t="s">
        <v>622</v>
      </c>
      <c r="C107" s="26" t="s">
        <v>70</v>
      </c>
      <c r="D107" s="26" t="s">
        <v>133</v>
      </c>
      <c r="E107" s="29" t="s">
        <v>134</v>
      </c>
      <c r="F107" s="28" t="s">
        <v>135</v>
      </c>
      <c r="G107" s="26" t="s">
        <v>20</v>
      </c>
      <c r="H107" s="26" t="s">
        <v>901</v>
      </c>
      <c r="I107" s="32">
        <f>(Metodologia[[#This Row],[Visites]]*0.15)/MAX(Metodologia[Visites])</f>
        <v>1.0116029181669087E-3</v>
      </c>
      <c r="J107" s="26" t="s">
        <v>597</v>
      </c>
      <c r="K107" s="28" t="s">
        <v>620</v>
      </c>
      <c r="L107" s="28" t="s">
        <v>620</v>
      </c>
      <c r="M107" s="28" t="s">
        <v>620</v>
      </c>
      <c r="N107" s="26" t="s">
        <v>632</v>
      </c>
      <c r="O107" s="47">
        <v>2862</v>
      </c>
      <c r="P107" s="26" t="s">
        <v>1123</v>
      </c>
      <c r="Q107" s="26" t="s">
        <v>54</v>
      </c>
      <c r="R107" s="26" t="s">
        <v>136</v>
      </c>
      <c r="S107" s="26" t="s">
        <v>1159</v>
      </c>
      <c r="T107" s="26"/>
      <c r="U107" s="26"/>
      <c r="V107" s="26" t="s">
        <v>137</v>
      </c>
      <c r="W107" s="28" t="s">
        <v>620</v>
      </c>
      <c r="X107" s="28" t="s">
        <v>620</v>
      </c>
      <c r="Y107" s="28" t="s">
        <v>620</v>
      </c>
      <c r="Z107" s="28" t="s">
        <v>620</v>
      </c>
      <c r="AA107" s="28" t="s">
        <v>620</v>
      </c>
      <c r="AB107" s="28" t="s">
        <v>620</v>
      </c>
      <c r="AC107" s="28" t="s">
        <v>620</v>
      </c>
      <c r="AD107" s="28" t="s">
        <v>620</v>
      </c>
      <c r="AE107" s="27" t="s">
        <v>766</v>
      </c>
      <c r="AF107" s="27" t="s">
        <v>767</v>
      </c>
      <c r="AG107" s="27" t="s">
        <v>672</v>
      </c>
      <c r="AH107" s="27" t="s">
        <v>631</v>
      </c>
    </row>
    <row r="108" spans="1:34" ht="33.75" x14ac:dyDescent="0.2">
      <c r="A108" s="28" t="s">
        <v>1023</v>
      </c>
      <c r="B108" s="31" t="s">
        <v>625</v>
      </c>
      <c r="C108" s="26" t="s">
        <v>70</v>
      </c>
      <c r="D108" s="26" t="s">
        <v>133</v>
      </c>
      <c r="E108" s="29" t="s">
        <v>282</v>
      </c>
      <c r="F108" s="28" t="s">
        <v>283</v>
      </c>
      <c r="G108" s="26" t="s">
        <v>6</v>
      </c>
      <c r="H108" s="26" t="s">
        <v>902</v>
      </c>
      <c r="I108" s="32">
        <f>(Metodologia[[#This Row],[Visites]]*0.15)/MAX(Metodologia[Visites])</f>
        <v>1.0091286971930552E-3</v>
      </c>
      <c r="J108" s="26"/>
      <c r="K108" s="28" t="s">
        <v>620</v>
      </c>
      <c r="L108" s="28" t="s">
        <v>621</v>
      </c>
      <c r="M108" s="28" t="s">
        <v>621</v>
      </c>
      <c r="N108" s="26" t="s">
        <v>632</v>
      </c>
      <c r="O108" s="47">
        <v>2855</v>
      </c>
      <c r="P108" s="26"/>
      <c r="Q108" s="26" t="s">
        <v>54</v>
      </c>
      <c r="R108" s="26" t="s">
        <v>284</v>
      </c>
      <c r="S108" s="26"/>
      <c r="T108" s="26" t="s">
        <v>285</v>
      </c>
      <c r="U108" s="26"/>
      <c r="V108" s="26" t="s">
        <v>286</v>
      </c>
      <c r="W108" s="28" t="s">
        <v>620</v>
      </c>
      <c r="X108" s="28" t="s">
        <v>620</v>
      </c>
      <c r="Y108" s="28" t="s">
        <v>620</v>
      </c>
      <c r="Z108" s="28" t="s">
        <v>620</v>
      </c>
      <c r="AA108" s="28" t="s">
        <v>620</v>
      </c>
      <c r="AB108" s="28" t="s">
        <v>620</v>
      </c>
      <c r="AC108" s="28" t="s">
        <v>620</v>
      </c>
      <c r="AD108" s="28" t="s">
        <v>620</v>
      </c>
      <c r="AE108" s="27" t="s">
        <v>768</v>
      </c>
      <c r="AF108" s="27" t="s">
        <v>769</v>
      </c>
      <c r="AG108" s="27" t="s">
        <v>725</v>
      </c>
      <c r="AH108" s="27" t="s">
        <v>631</v>
      </c>
    </row>
    <row r="109" spans="1:34" ht="22.5" x14ac:dyDescent="0.2">
      <c r="A109" s="28" t="s">
        <v>1024</v>
      </c>
      <c r="B109" s="31" t="s">
        <v>622</v>
      </c>
      <c r="C109" s="26" t="s">
        <v>70</v>
      </c>
      <c r="D109" s="26" t="s">
        <v>70</v>
      </c>
      <c r="E109" s="29" t="s">
        <v>220</v>
      </c>
      <c r="F109" s="28" t="s">
        <v>221</v>
      </c>
      <c r="G109" s="26" t="s">
        <v>20</v>
      </c>
      <c r="H109" s="26" t="s">
        <v>889</v>
      </c>
      <c r="I109" s="32">
        <f>(Metodologia[[#This Row],[Visites]]*0.15)/MAX(Metodologia[Visites])</f>
        <v>1.4937225479291949E-3</v>
      </c>
      <c r="J109" s="26" t="s">
        <v>598</v>
      </c>
      <c r="K109" s="28" t="s">
        <v>620</v>
      </c>
      <c r="L109" s="28" t="s">
        <v>620</v>
      </c>
      <c r="M109" s="28" t="s">
        <v>621</v>
      </c>
      <c r="N109" s="26" t="s">
        <v>632</v>
      </c>
      <c r="O109" s="47">
        <v>4226</v>
      </c>
      <c r="P109" s="26" t="s">
        <v>1162</v>
      </c>
      <c r="Q109" s="26" t="s">
        <v>7</v>
      </c>
      <c r="R109" s="26" t="s">
        <v>222</v>
      </c>
      <c r="S109" s="26" t="s">
        <v>1159</v>
      </c>
      <c r="T109" s="26"/>
      <c r="U109" s="26"/>
      <c r="V109" s="26" t="s">
        <v>1163</v>
      </c>
      <c r="W109" s="28" t="s">
        <v>620</v>
      </c>
      <c r="X109" s="28" t="s">
        <v>620</v>
      </c>
      <c r="Y109" s="28" t="s">
        <v>620</v>
      </c>
      <c r="Z109" s="28" t="s">
        <v>620</v>
      </c>
      <c r="AA109" s="28" t="s">
        <v>620</v>
      </c>
      <c r="AB109" s="28" t="s">
        <v>620</v>
      </c>
      <c r="AC109" s="28" t="s">
        <v>620</v>
      </c>
      <c r="AD109" s="28" t="s">
        <v>620</v>
      </c>
      <c r="AE109" s="27" t="s">
        <v>762</v>
      </c>
      <c r="AF109" s="27" t="s">
        <v>770</v>
      </c>
      <c r="AG109" s="27" t="s">
        <v>672</v>
      </c>
      <c r="AH109" s="27" t="s">
        <v>636</v>
      </c>
    </row>
    <row r="110" spans="1:34" ht="22.5" x14ac:dyDescent="0.2">
      <c r="A110" s="28" t="s">
        <v>1025</v>
      </c>
      <c r="B110" s="31" t="s">
        <v>622</v>
      </c>
      <c r="C110" s="26" t="s">
        <v>70</v>
      </c>
      <c r="D110" s="26" t="s">
        <v>70</v>
      </c>
      <c r="E110" s="29" t="s">
        <v>403</v>
      </c>
      <c r="F110" s="28" t="s">
        <v>404</v>
      </c>
      <c r="G110" s="26" t="s">
        <v>20</v>
      </c>
      <c r="H110" s="26" t="s">
        <v>889</v>
      </c>
      <c r="I110" s="32">
        <f>(Metodologia[[#This Row],[Visites]]*0.15)/MAX(Metodologia[Visites])</f>
        <v>6.3622825041943933E-6</v>
      </c>
      <c r="J110" s="26" t="s">
        <v>599</v>
      </c>
      <c r="K110" s="28" t="s">
        <v>620</v>
      </c>
      <c r="L110" s="28" t="s">
        <v>620</v>
      </c>
      <c r="M110" s="28" t="s">
        <v>621</v>
      </c>
      <c r="N110" s="26" t="s">
        <v>632</v>
      </c>
      <c r="O110" s="47">
        <v>18</v>
      </c>
      <c r="P110" s="26" t="s">
        <v>1162</v>
      </c>
      <c r="Q110" s="26" t="s">
        <v>7</v>
      </c>
      <c r="R110" s="26" t="s">
        <v>405</v>
      </c>
      <c r="S110" s="26" t="s">
        <v>1159</v>
      </c>
      <c r="T110" s="26"/>
      <c r="U110" s="26"/>
      <c r="V110" s="26" t="s">
        <v>406</v>
      </c>
      <c r="W110" s="28" t="s">
        <v>620</v>
      </c>
      <c r="X110" s="28" t="s">
        <v>620</v>
      </c>
      <c r="Y110" s="28" t="s">
        <v>620</v>
      </c>
      <c r="Z110" s="28" t="s">
        <v>620</v>
      </c>
      <c r="AA110" s="28" t="s">
        <v>620</v>
      </c>
      <c r="AB110" s="28" t="s">
        <v>620</v>
      </c>
      <c r="AC110" s="28" t="s">
        <v>620</v>
      </c>
      <c r="AD110" s="28" t="s">
        <v>620</v>
      </c>
      <c r="AE110" s="27" t="s">
        <v>762</v>
      </c>
      <c r="AF110" s="27" t="s">
        <v>771</v>
      </c>
      <c r="AG110" s="27" t="s">
        <v>672</v>
      </c>
      <c r="AH110" s="27" t="s">
        <v>631</v>
      </c>
    </row>
    <row r="111" spans="1:34" ht="67.5" x14ac:dyDescent="0.2">
      <c r="A111" s="28" t="s">
        <v>1026</v>
      </c>
      <c r="B111" s="31" t="s">
        <v>623</v>
      </c>
      <c r="C111" s="26" t="s">
        <v>70</v>
      </c>
      <c r="D111" s="26" t="s">
        <v>70</v>
      </c>
      <c r="E111" s="29" t="s">
        <v>71</v>
      </c>
      <c r="F111" s="28" t="s">
        <v>72</v>
      </c>
      <c r="G111" s="26" t="s">
        <v>6</v>
      </c>
      <c r="H111" s="26" t="s">
        <v>903</v>
      </c>
      <c r="I111" s="32">
        <f>(Metodologia[[#This Row],[Visites]]*0.15)/MAX(Metodologia[Visites])</f>
        <v>1.0317501460968574E-3</v>
      </c>
      <c r="J111" s="26" t="s">
        <v>600</v>
      </c>
      <c r="K111" s="28" t="s">
        <v>620</v>
      </c>
      <c r="L111" s="28" t="s">
        <v>620</v>
      </c>
      <c r="M111" s="28" t="s">
        <v>620</v>
      </c>
      <c r="N111" s="26" t="s">
        <v>632</v>
      </c>
      <c r="O111" s="47">
        <v>2919</v>
      </c>
      <c r="P111" s="26"/>
      <c r="Q111" s="26" t="s">
        <v>54</v>
      </c>
      <c r="R111" s="26" t="s">
        <v>73</v>
      </c>
      <c r="S111" s="26" t="s">
        <v>1161</v>
      </c>
      <c r="T111" s="26"/>
      <c r="U111" s="26"/>
      <c r="V111" s="26" t="s">
        <v>74</v>
      </c>
      <c r="W111" s="28" t="s">
        <v>620</v>
      </c>
      <c r="X111" s="28" t="s">
        <v>620</v>
      </c>
      <c r="Y111" s="28" t="s">
        <v>620</v>
      </c>
      <c r="Z111" s="28" t="s">
        <v>620</v>
      </c>
      <c r="AA111" s="28" t="s">
        <v>620</v>
      </c>
      <c r="AB111" s="28" t="s">
        <v>620</v>
      </c>
      <c r="AC111" s="28" t="s">
        <v>620</v>
      </c>
      <c r="AD111" s="28" t="s">
        <v>620</v>
      </c>
      <c r="AE111" s="27" t="s">
        <v>772</v>
      </c>
      <c r="AF111" s="27" t="s">
        <v>773</v>
      </c>
      <c r="AG111" s="27" t="s">
        <v>774</v>
      </c>
      <c r="AH111" s="27" t="s">
        <v>631</v>
      </c>
    </row>
    <row r="112" spans="1:34" ht="22.5" x14ac:dyDescent="0.2">
      <c r="A112" s="28" t="s">
        <v>1027</v>
      </c>
      <c r="B112" s="31" t="s">
        <v>622</v>
      </c>
      <c r="C112" s="26" t="s">
        <v>70</v>
      </c>
      <c r="D112" s="26" t="s">
        <v>70</v>
      </c>
      <c r="E112" s="29" t="s">
        <v>269</v>
      </c>
      <c r="F112" s="28" t="s">
        <v>270</v>
      </c>
      <c r="G112" s="26" t="s">
        <v>20</v>
      </c>
      <c r="H112" s="26" t="s">
        <v>889</v>
      </c>
      <c r="I112" s="32">
        <f>(Metodologia[[#This Row],[Visites]]*0.15)/MAX(Metodologia[Visites])</f>
        <v>7.4933549493845085E-4</v>
      </c>
      <c r="J112" s="26"/>
      <c r="K112" s="28" t="s">
        <v>620</v>
      </c>
      <c r="L112" s="28" t="s">
        <v>620</v>
      </c>
      <c r="M112" s="28" t="s">
        <v>621</v>
      </c>
      <c r="N112" s="26" t="s">
        <v>632</v>
      </c>
      <c r="O112" s="47">
        <v>2120</v>
      </c>
      <c r="P112" s="26" t="s">
        <v>1164</v>
      </c>
      <c r="Q112" s="26" t="s">
        <v>7</v>
      </c>
      <c r="R112" s="26" t="s">
        <v>160</v>
      </c>
      <c r="S112" s="26" t="s">
        <v>1159</v>
      </c>
      <c r="T112" s="26"/>
      <c r="U112" s="26"/>
      <c r="V112" s="26" t="s">
        <v>271</v>
      </c>
      <c r="W112" s="28" t="s">
        <v>620</v>
      </c>
      <c r="X112" s="28" t="s">
        <v>621</v>
      </c>
      <c r="Y112" s="28" t="s">
        <v>621</v>
      </c>
      <c r="Z112" s="28" t="s">
        <v>620</v>
      </c>
      <c r="AA112" s="28" t="s">
        <v>620</v>
      </c>
      <c r="AB112" s="28" t="s">
        <v>621</v>
      </c>
      <c r="AC112" s="28" t="s">
        <v>620</v>
      </c>
      <c r="AD112" s="28" t="s">
        <v>620</v>
      </c>
      <c r="AE112" s="27" t="s">
        <v>688</v>
      </c>
      <c r="AF112" s="27" t="s">
        <v>775</v>
      </c>
      <c r="AG112" s="27" t="s">
        <v>744</v>
      </c>
      <c r="AH112" s="27" t="s">
        <v>636</v>
      </c>
    </row>
    <row r="113" spans="1:34" ht="33.75" x14ac:dyDescent="0.2">
      <c r="A113" s="28" t="s">
        <v>1028</v>
      </c>
      <c r="B113" s="31" t="s">
        <v>626</v>
      </c>
      <c r="C113" s="26" t="s">
        <v>70</v>
      </c>
      <c r="D113" s="26" t="s">
        <v>70</v>
      </c>
      <c r="E113" s="29" t="s">
        <v>183</v>
      </c>
      <c r="F113" s="28" t="s">
        <v>184</v>
      </c>
      <c r="G113" s="26" t="s">
        <v>20</v>
      </c>
      <c r="H113" s="26"/>
      <c r="I113" s="32">
        <f>(Metodologia[[#This Row],[Visites]]*0.15)/MAX(Metodologia[Visites])</f>
        <v>1.1558146549286482E-3</v>
      </c>
      <c r="J113" s="26" t="s">
        <v>601</v>
      </c>
      <c r="K113" s="28" t="s">
        <v>621</v>
      </c>
      <c r="L113" s="28" t="s">
        <v>620</v>
      </c>
      <c r="M113" s="28" t="s">
        <v>621</v>
      </c>
      <c r="N113" s="26" t="s">
        <v>632</v>
      </c>
      <c r="O113" s="47">
        <v>3270</v>
      </c>
      <c r="P113" s="26" t="s">
        <v>1162</v>
      </c>
      <c r="Q113" s="26" t="s">
        <v>54</v>
      </c>
      <c r="R113" s="26"/>
      <c r="S113" s="26" t="s">
        <v>1144</v>
      </c>
      <c r="T113" s="26"/>
      <c r="U113" s="26" t="s">
        <v>185</v>
      </c>
      <c r="V113" s="26" t="s">
        <v>186</v>
      </c>
      <c r="W113" s="28" t="s">
        <v>620</v>
      </c>
      <c r="X113" s="28" t="s">
        <v>1227</v>
      </c>
      <c r="Y113" s="28" t="s">
        <v>1227</v>
      </c>
      <c r="Z113" s="28" t="s">
        <v>621</v>
      </c>
      <c r="AA113" s="28" t="s">
        <v>621</v>
      </c>
      <c r="AB113" s="28" t="s">
        <v>621</v>
      </c>
      <c r="AC113" s="28" t="s">
        <v>621</v>
      </c>
      <c r="AD113" s="28" t="s">
        <v>1227</v>
      </c>
      <c r="AE113" s="27" t="s">
        <v>762</v>
      </c>
      <c r="AF113" s="27" t="s">
        <v>776</v>
      </c>
      <c r="AG113" s="27" t="s">
        <v>672</v>
      </c>
      <c r="AH113" s="27" t="s">
        <v>646</v>
      </c>
    </row>
    <row r="114" spans="1:34" ht="22.5" x14ac:dyDescent="0.2">
      <c r="A114" s="28" t="s">
        <v>1029</v>
      </c>
      <c r="B114" s="31" t="s">
        <v>624</v>
      </c>
      <c r="C114" s="26" t="s">
        <v>70</v>
      </c>
      <c r="D114" s="26" t="s">
        <v>70</v>
      </c>
      <c r="E114" s="29" t="s">
        <v>412</v>
      </c>
      <c r="F114" s="28" t="s">
        <v>413</v>
      </c>
      <c r="G114" s="26" t="s">
        <v>24</v>
      </c>
      <c r="H114" s="26" t="s">
        <v>889</v>
      </c>
      <c r="I114" s="32">
        <f>(Metodologia[[#This Row],[Visites]]*0.15)/MAX(Metodologia[Visites])</f>
        <v>3.909269138688333E-4</v>
      </c>
      <c r="J114" s="26" t="s">
        <v>602</v>
      </c>
      <c r="K114" s="28" t="s">
        <v>620</v>
      </c>
      <c r="L114" s="28" t="s">
        <v>621</v>
      </c>
      <c r="M114" s="28" t="s">
        <v>621</v>
      </c>
      <c r="N114" s="26" t="s">
        <v>632</v>
      </c>
      <c r="O114" s="47">
        <v>1106</v>
      </c>
      <c r="P114" s="26"/>
      <c r="Q114" s="26" t="s">
        <v>54</v>
      </c>
      <c r="R114" s="26"/>
      <c r="S114" s="26" t="s">
        <v>83</v>
      </c>
      <c r="T114" s="26"/>
      <c r="U114" s="26"/>
      <c r="V114" s="26" t="s">
        <v>414</v>
      </c>
      <c r="W114" s="28" t="s">
        <v>620</v>
      </c>
      <c r="X114" s="28" t="s">
        <v>620</v>
      </c>
      <c r="Y114" s="28" t="s">
        <v>621</v>
      </c>
      <c r="Z114" s="28" t="s">
        <v>620</v>
      </c>
      <c r="AA114" s="28" t="s">
        <v>620</v>
      </c>
      <c r="AB114" s="28" t="s">
        <v>621</v>
      </c>
      <c r="AC114" s="28" t="s">
        <v>620</v>
      </c>
      <c r="AD114" s="28" t="s">
        <v>620</v>
      </c>
      <c r="AE114" s="27" t="s">
        <v>777</v>
      </c>
      <c r="AF114" s="27" t="s">
        <v>771</v>
      </c>
      <c r="AG114" s="27" t="s">
        <v>669</v>
      </c>
      <c r="AH114" s="27" t="s">
        <v>631</v>
      </c>
    </row>
    <row r="115" spans="1:34" ht="22.5" x14ac:dyDescent="0.2">
      <c r="A115" s="28" t="s">
        <v>1030</v>
      </c>
      <c r="B115" s="31" t="s">
        <v>623</v>
      </c>
      <c r="C115" s="26" t="s">
        <v>70</v>
      </c>
      <c r="D115" s="26" t="s">
        <v>306</v>
      </c>
      <c r="E115" s="29" t="s">
        <v>334</v>
      </c>
      <c r="F115" s="28" t="s">
        <v>335</v>
      </c>
      <c r="G115" s="26" t="s">
        <v>6</v>
      </c>
      <c r="H115" s="26" t="s">
        <v>889</v>
      </c>
      <c r="I115" s="32">
        <f>(Metodologia[[#This Row],[Visites]]*0.15)/MAX(Metodologia[Visites])</f>
        <v>2.8796397534262066E-3</v>
      </c>
      <c r="J115" s="26" t="s">
        <v>603</v>
      </c>
      <c r="K115" s="28" t="s">
        <v>620</v>
      </c>
      <c r="L115" s="28" t="s">
        <v>620</v>
      </c>
      <c r="M115" s="28" t="s">
        <v>620</v>
      </c>
      <c r="N115" s="26" t="s">
        <v>632</v>
      </c>
      <c r="O115" s="47">
        <v>8147</v>
      </c>
      <c r="P115" s="26"/>
      <c r="Q115" s="26" t="s">
        <v>54</v>
      </c>
      <c r="R115" s="26" t="s">
        <v>326</v>
      </c>
      <c r="S115" s="26" t="s">
        <v>1165</v>
      </c>
      <c r="T115" s="26" t="s">
        <v>331</v>
      </c>
      <c r="U115" s="26"/>
      <c r="V115" s="26" t="s">
        <v>336</v>
      </c>
      <c r="W115" s="28" t="s">
        <v>620</v>
      </c>
      <c r="X115" s="28" t="s">
        <v>620</v>
      </c>
      <c r="Y115" s="28" t="s">
        <v>620</v>
      </c>
      <c r="Z115" s="28" t="s">
        <v>621</v>
      </c>
      <c r="AA115" s="28" t="s">
        <v>621</v>
      </c>
      <c r="AB115" s="28" t="s">
        <v>620</v>
      </c>
      <c r="AC115" s="28" t="s">
        <v>620</v>
      </c>
      <c r="AD115" s="28" t="s">
        <v>620</v>
      </c>
      <c r="AE115" s="27" t="s">
        <v>778</v>
      </c>
      <c r="AF115" s="27" t="s">
        <v>779</v>
      </c>
      <c r="AG115" s="27" t="s">
        <v>710</v>
      </c>
      <c r="AH115" s="27" t="s">
        <v>631</v>
      </c>
    </row>
    <row r="116" spans="1:34" ht="22.5" x14ac:dyDescent="0.2">
      <c r="A116" s="28" t="s">
        <v>1031</v>
      </c>
      <c r="B116" s="31" t="s">
        <v>623</v>
      </c>
      <c r="C116" s="26" t="s">
        <v>70</v>
      </c>
      <c r="D116" s="26" t="s">
        <v>306</v>
      </c>
      <c r="E116" s="29" t="s">
        <v>324</v>
      </c>
      <c r="F116" s="28" t="s">
        <v>325</v>
      </c>
      <c r="G116" s="26" t="s">
        <v>6</v>
      </c>
      <c r="H116" s="26" t="s">
        <v>889</v>
      </c>
      <c r="I116" s="32">
        <f>(Metodologia[[#This Row],[Visites]]*0.15)/MAX(Metodologia[Visites])</f>
        <v>7.4721473410371928E-4</v>
      </c>
      <c r="J116" s="26" t="s">
        <v>603</v>
      </c>
      <c r="K116" s="28" t="s">
        <v>620</v>
      </c>
      <c r="L116" s="28" t="s">
        <v>621</v>
      </c>
      <c r="M116" s="28" t="s">
        <v>620</v>
      </c>
      <c r="N116" s="26" t="s">
        <v>632</v>
      </c>
      <c r="O116" s="47">
        <v>2114</v>
      </c>
      <c r="P116" s="26"/>
      <c r="Q116" s="26" t="s">
        <v>54</v>
      </c>
      <c r="R116" s="26" t="s">
        <v>326</v>
      </c>
      <c r="S116" s="26"/>
      <c r="T116" s="26" t="s">
        <v>327</v>
      </c>
      <c r="U116" s="26"/>
      <c r="V116" s="26" t="s">
        <v>328</v>
      </c>
      <c r="W116" s="28" t="s">
        <v>620</v>
      </c>
      <c r="X116" s="28" t="s">
        <v>620</v>
      </c>
      <c r="Y116" s="28" t="s">
        <v>620</v>
      </c>
      <c r="Z116" s="28" t="s">
        <v>621</v>
      </c>
      <c r="AA116" s="28" t="s">
        <v>621</v>
      </c>
      <c r="AB116" s="28" t="s">
        <v>620</v>
      </c>
      <c r="AC116" s="28" t="s">
        <v>620</v>
      </c>
      <c r="AD116" s="28" t="s">
        <v>620</v>
      </c>
      <c r="AE116" s="27" t="s">
        <v>780</v>
      </c>
      <c r="AF116" s="27" t="s">
        <v>781</v>
      </c>
      <c r="AG116" s="27" t="s">
        <v>713</v>
      </c>
      <c r="AH116" s="27" t="s">
        <v>631</v>
      </c>
    </row>
    <row r="117" spans="1:34" ht="45" x14ac:dyDescent="0.2">
      <c r="A117" s="28" t="s">
        <v>1032</v>
      </c>
      <c r="B117" s="31" t="s">
        <v>623</v>
      </c>
      <c r="C117" s="26" t="s">
        <v>70</v>
      </c>
      <c r="D117" s="26" t="s">
        <v>306</v>
      </c>
      <c r="E117" s="29" t="s">
        <v>329</v>
      </c>
      <c r="F117" s="28" t="s">
        <v>330</v>
      </c>
      <c r="G117" s="26" t="s">
        <v>6</v>
      </c>
      <c r="H117" s="26" t="s">
        <v>889</v>
      </c>
      <c r="I117" s="32">
        <f>(Metodologia[[#This Row],[Visites]]*0.15)/MAX(Metodologia[Visites])</f>
        <v>7.8927649065922668E-4</v>
      </c>
      <c r="J117" s="26" t="s">
        <v>603</v>
      </c>
      <c r="K117" s="28" t="s">
        <v>620</v>
      </c>
      <c r="L117" s="28" t="s">
        <v>621</v>
      </c>
      <c r="M117" s="28" t="s">
        <v>620</v>
      </c>
      <c r="N117" s="26" t="s">
        <v>632</v>
      </c>
      <c r="O117" s="47">
        <v>2233</v>
      </c>
      <c r="P117" s="26"/>
      <c r="Q117" s="26" t="s">
        <v>54</v>
      </c>
      <c r="R117" s="26"/>
      <c r="S117" s="26"/>
      <c r="T117" s="26" t="s">
        <v>331</v>
      </c>
      <c r="U117" s="26" t="s">
        <v>332</v>
      </c>
      <c r="V117" s="26" t="s">
        <v>333</v>
      </c>
      <c r="W117" s="28" t="s">
        <v>620</v>
      </c>
      <c r="X117" s="28" t="s">
        <v>1227</v>
      </c>
      <c r="Y117" s="28" t="s">
        <v>1227</v>
      </c>
      <c r="Z117" s="28" t="s">
        <v>621</v>
      </c>
      <c r="AA117" s="28" t="s">
        <v>621</v>
      </c>
      <c r="AB117" s="28" t="s">
        <v>1227</v>
      </c>
      <c r="AC117" s="28" t="s">
        <v>621</v>
      </c>
      <c r="AD117" s="28" t="s">
        <v>1227</v>
      </c>
      <c r="AE117" s="27" t="s">
        <v>782</v>
      </c>
      <c r="AF117" s="27" t="s">
        <v>783</v>
      </c>
      <c r="AG117" s="27" t="s">
        <v>713</v>
      </c>
      <c r="AH117" s="27" t="s">
        <v>631</v>
      </c>
    </row>
    <row r="118" spans="1:34" ht="22.5" x14ac:dyDescent="0.2">
      <c r="A118" s="28" t="s">
        <v>1033</v>
      </c>
      <c r="B118" s="31" t="s">
        <v>623</v>
      </c>
      <c r="C118" s="26" t="s">
        <v>70</v>
      </c>
      <c r="D118" s="26" t="s">
        <v>306</v>
      </c>
      <c r="E118" s="29" t="s">
        <v>307</v>
      </c>
      <c r="F118" s="28" t="s">
        <v>308</v>
      </c>
      <c r="G118" s="26" t="s">
        <v>6</v>
      </c>
      <c r="H118" s="26" t="s">
        <v>889</v>
      </c>
      <c r="I118" s="32">
        <f>(Metodologia[[#This Row],[Visites]]*0.15)/MAX(Metodologia[Visites])</f>
        <v>5.7720040718608025E-4</v>
      </c>
      <c r="J118" s="26"/>
      <c r="K118" s="28" t="s">
        <v>620</v>
      </c>
      <c r="L118" s="28" t="s">
        <v>620</v>
      </c>
      <c r="M118" s="28" t="s">
        <v>620</v>
      </c>
      <c r="N118" s="26" t="s">
        <v>632</v>
      </c>
      <c r="O118" s="47">
        <v>1633</v>
      </c>
      <c r="P118" s="26"/>
      <c r="Q118" s="26" t="s">
        <v>54</v>
      </c>
      <c r="R118" s="26" t="s">
        <v>309</v>
      </c>
      <c r="S118" s="26" t="s">
        <v>1165</v>
      </c>
      <c r="T118" s="26" t="s">
        <v>310</v>
      </c>
      <c r="U118" s="26"/>
      <c r="V118" s="26" t="s">
        <v>311</v>
      </c>
      <c r="W118" s="28" t="s">
        <v>620</v>
      </c>
      <c r="X118" s="28" t="s">
        <v>620</v>
      </c>
      <c r="Y118" s="28" t="s">
        <v>620</v>
      </c>
      <c r="Z118" s="28" t="s">
        <v>621</v>
      </c>
      <c r="AA118" s="28" t="s">
        <v>621</v>
      </c>
      <c r="AB118" s="28" t="s">
        <v>620</v>
      </c>
      <c r="AC118" s="28" t="s">
        <v>620</v>
      </c>
      <c r="AD118" s="28" t="s">
        <v>620</v>
      </c>
      <c r="AE118" s="27" t="s">
        <v>784</v>
      </c>
      <c r="AF118" s="27" t="s">
        <v>785</v>
      </c>
      <c r="AG118" s="27" t="s">
        <v>713</v>
      </c>
      <c r="AH118" s="27" t="s">
        <v>631</v>
      </c>
    </row>
    <row r="119" spans="1:34" ht="22.5" x14ac:dyDescent="0.2">
      <c r="A119" s="28" t="s">
        <v>1035</v>
      </c>
      <c r="B119" s="31" t="s">
        <v>626</v>
      </c>
      <c r="C119" s="26" t="s">
        <v>64</v>
      </c>
      <c r="D119" s="26" t="s">
        <v>79</v>
      </c>
      <c r="E119" s="29" t="s">
        <v>261</v>
      </c>
      <c r="F119" s="28" t="s">
        <v>262</v>
      </c>
      <c r="G119" s="26" t="s">
        <v>6</v>
      </c>
      <c r="H119" s="26"/>
      <c r="I119" s="32">
        <f>(Metodologia[[#This Row],[Visites]]*0.15)/MAX(Metodologia[Visites])</f>
        <v>1.4407035270609081E-3</v>
      </c>
      <c r="J119" s="26"/>
      <c r="K119" s="28" t="s">
        <v>621</v>
      </c>
      <c r="L119" s="28" t="s">
        <v>620</v>
      </c>
      <c r="M119" s="28" t="s">
        <v>621</v>
      </c>
      <c r="N119" s="26" t="s">
        <v>639</v>
      </c>
      <c r="O119" s="47">
        <v>4076</v>
      </c>
      <c r="P119" s="26"/>
      <c r="Q119" s="26" t="s">
        <v>7</v>
      </c>
      <c r="R119" s="26" t="s">
        <v>263</v>
      </c>
      <c r="S119" s="26"/>
      <c r="T119" s="26"/>
      <c r="U119" s="26"/>
      <c r="V119" s="26" t="s">
        <v>264</v>
      </c>
      <c r="W119" s="28" t="s">
        <v>620</v>
      </c>
      <c r="X119" s="28" t="s">
        <v>620</v>
      </c>
      <c r="Y119" s="28" t="s">
        <v>620</v>
      </c>
      <c r="Z119" s="28" t="s">
        <v>620</v>
      </c>
      <c r="AA119" s="28" t="s">
        <v>620</v>
      </c>
      <c r="AB119" s="28" t="s">
        <v>621</v>
      </c>
      <c r="AC119" s="28" t="s">
        <v>620</v>
      </c>
      <c r="AD119" s="28" t="s">
        <v>620</v>
      </c>
      <c r="AE119" s="27" t="s">
        <v>788</v>
      </c>
      <c r="AF119" s="27" t="s">
        <v>789</v>
      </c>
      <c r="AG119" s="27" t="s">
        <v>750</v>
      </c>
      <c r="AH119" s="27" t="s">
        <v>631</v>
      </c>
    </row>
    <row r="120" spans="1:34" ht="33.75" x14ac:dyDescent="0.2">
      <c r="A120" s="28" t="s">
        <v>1036</v>
      </c>
      <c r="B120" s="31" t="s">
        <v>626</v>
      </c>
      <c r="C120" s="26" t="s">
        <v>64</v>
      </c>
      <c r="D120" s="26" t="s">
        <v>79</v>
      </c>
      <c r="E120" s="29" t="s">
        <v>265</v>
      </c>
      <c r="F120" s="28" t="s">
        <v>266</v>
      </c>
      <c r="G120" s="26" t="s">
        <v>96</v>
      </c>
      <c r="H120" s="26"/>
      <c r="I120" s="32">
        <f>(Metodologia[[#This Row],[Visites]]*0.15)/MAX(Metodologia[Visites])</f>
        <v>1.7945171263219408E-3</v>
      </c>
      <c r="J120" s="26"/>
      <c r="K120" s="28" t="s">
        <v>621</v>
      </c>
      <c r="L120" s="28" t="s">
        <v>621</v>
      </c>
      <c r="M120" s="28" t="s">
        <v>621</v>
      </c>
      <c r="N120" s="26" t="s">
        <v>632</v>
      </c>
      <c r="O120" s="47">
        <v>5077</v>
      </c>
      <c r="P120" s="26" t="s">
        <v>1166</v>
      </c>
      <c r="Q120" s="26" t="s">
        <v>32</v>
      </c>
      <c r="R120" s="26"/>
      <c r="S120" s="26"/>
      <c r="T120" s="26"/>
      <c r="U120" s="26" t="s">
        <v>267</v>
      </c>
      <c r="V120" s="26" t="s">
        <v>268</v>
      </c>
      <c r="W120" s="28" t="s">
        <v>620</v>
      </c>
      <c r="X120" s="28" t="s">
        <v>1227</v>
      </c>
      <c r="Y120" s="28" t="s">
        <v>1227</v>
      </c>
      <c r="Z120" s="28" t="s">
        <v>621</v>
      </c>
      <c r="AA120" s="28" t="s">
        <v>621</v>
      </c>
      <c r="AB120" s="28" t="s">
        <v>621</v>
      </c>
      <c r="AC120" s="28" t="s">
        <v>621</v>
      </c>
      <c r="AD120" s="28" t="s">
        <v>621</v>
      </c>
      <c r="AE120" s="27" t="s">
        <v>715</v>
      </c>
      <c r="AF120" s="27" t="s">
        <v>716</v>
      </c>
      <c r="AG120" s="27" t="s">
        <v>717</v>
      </c>
      <c r="AH120" s="27" t="s">
        <v>646</v>
      </c>
    </row>
    <row r="121" spans="1:34" ht="33.75" x14ac:dyDescent="0.2">
      <c r="A121" s="28" t="s">
        <v>1037</v>
      </c>
      <c r="B121" s="31" t="s">
        <v>626</v>
      </c>
      <c r="C121" s="26" t="s">
        <v>64</v>
      </c>
      <c r="D121" s="26" t="s">
        <v>79</v>
      </c>
      <c r="E121" s="29" t="s">
        <v>279</v>
      </c>
      <c r="F121" s="28" t="s">
        <v>280</v>
      </c>
      <c r="G121" s="26" t="s">
        <v>20</v>
      </c>
      <c r="H121" s="26"/>
      <c r="I121" s="32">
        <f>(Metodologia[[#This Row],[Visites]]*0.15)/MAX(Metodologia[Visites])</f>
        <v>6.1749486304597812E-4</v>
      </c>
      <c r="J121" s="26"/>
      <c r="K121" s="28" t="s">
        <v>621</v>
      </c>
      <c r="L121" s="28" t="s">
        <v>621</v>
      </c>
      <c r="M121" s="28" t="s">
        <v>621</v>
      </c>
      <c r="N121" s="26" t="s">
        <v>632</v>
      </c>
      <c r="O121" s="47">
        <v>1747</v>
      </c>
      <c r="P121" s="26" t="s">
        <v>1167</v>
      </c>
      <c r="Q121" s="26" t="s">
        <v>32</v>
      </c>
      <c r="R121" s="26"/>
      <c r="S121" s="26"/>
      <c r="T121" s="26"/>
      <c r="U121" s="26" t="s">
        <v>267</v>
      </c>
      <c r="V121" s="26" t="s">
        <v>281</v>
      </c>
      <c r="W121" s="28" t="s">
        <v>620</v>
      </c>
      <c r="X121" s="28" t="s">
        <v>1227</v>
      </c>
      <c r="Y121" s="28" t="s">
        <v>1227</v>
      </c>
      <c r="Z121" s="28" t="s">
        <v>621</v>
      </c>
      <c r="AA121" s="28" t="s">
        <v>621</v>
      </c>
      <c r="AB121" s="28" t="s">
        <v>621</v>
      </c>
      <c r="AC121" s="28" t="s">
        <v>621</v>
      </c>
      <c r="AD121" s="28" t="s">
        <v>621</v>
      </c>
      <c r="AE121" s="27" t="s">
        <v>790</v>
      </c>
      <c r="AF121" s="27" t="s">
        <v>791</v>
      </c>
      <c r="AG121" s="27" t="s">
        <v>672</v>
      </c>
      <c r="AH121" s="27" t="s">
        <v>646</v>
      </c>
    </row>
    <row r="122" spans="1:34" ht="33.75" x14ac:dyDescent="0.2">
      <c r="A122" s="28" t="s">
        <v>1038</v>
      </c>
      <c r="B122" s="31" t="s">
        <v>626</v>
      </c>
      <c r="C122" s="26" t="s">
        <v>64</v>
      </c>
      <c r="D122" s="26" t="s">
        <v>79</v>
      </c>
      <c r="E122" s="29" t="s">
        <v>276</v>
      </c>
      <c r="F122" s="28" t="s">
        <v>277</v>
      </c>
      <c r="G122" s="26" t="s">
        <v>24</v>
      </c>
      <c r="H122" s="26"/>
      <c r="I122" s="32">
        <f>(Metodologia[[#This Row],[Visites]]*0.15)/MAX(Metodologia[Visites])</f>
        <v>9.3207438686447868E-4</v>
      </c>
      <c r="J122" s="26"/>
      <c r="K122" s="28" t="s">
        <v>621</v>
      </c>
      <c r="L122" s="28" t="s">
        <v>621</v>
      </c>
      <c r="M122" s="28" t="s">
        <v>621</v>
      </c>
      <c r="N122" s="26" t="s">
        <v>632</v>
      </c>
      <c r="O122" s="47">
        <v>2637</v>
      </c>
      <c r="P122" s="26"/>
      <c r="Q122" s="26" t="s">
        <v>32</v>
      </c>
      <c r="R122" s="26"/>
      <c r="S122" s="26"/>
      <c r="T122" s="26"/>
      <c r="U122" s="26" t="s">
        <v>267</v>
      </c>
      <c r="V122" s="26" t="s">
        <v>278</v>
      </c>
      <c r="W122" s="28" t="s">
        <v>620</v>
      </c>
      <c r="X122" s="28" t="s">
        <v>1227</v>
      </c>
      <c r="Y122" s="28" t="s">
        <v>1227</v>
      </c>
      <c r="Z122" s="28" t="s">
        <v>621</v>
      </c>
      <c r="AA122" s="28" t="s">
        <v>621</v>
      </c>
      <c r="AB122" s="28" t="s">
        <v>621</v>
      </c>
      <c r="AC122" s="28" t="s">
        <v>621</v>
      </c>
      <c r="AD122" s="28" t="s">
        <v>621</v>
      </c>
      <c r="AE122" s="27" t="s">
        <v>792</v>
      </c>
      <c r="AF122" s="27" t="s">
        <v>793</v>
      </c>
      <c r="AG122" s="27" t="s">
        <v>794</v>
      </c>
      <c r="AH122" s="27" t="s">
        <v>646</v>
      </c>
    </row>
    <row r="123" spans="1:34" ht="33.75" x14ac:dyDescent="0.2">
      <c r="A123" s="28" t="s">
        <v>1039</v>
      </c>
      <c r="B123" s="31" t="s">
        <v>623</v>
      </c>
      <c r="C123" s="26" t="s">
        <v>64</v>
      </c>
      <c r="D123" s="26" t="s">
        <v>79</v>
      </c>
      <c r="E123" s="29" t="s">
        <v>80</v>
      </c>
      <c r="F123" s="28" t="s">
        <v>81</v>
      </c>
      <c r="G123" s="26" t="s">
        <v>6</v>
      </c>
      <c r="H123" s="26" t="s">
        <v>889</v>
      </c>
      <c r="I123" s="32">
        <f>(Metodologia[[#This Row],[Visites]]*0.15)/MAX(Metodologia[Visites])</f>
        <v>2.863027126887477E-4</v>
      </c>
      <c r="J123" s="26"/>
      <c r="K123" s="28" t="s">
        <v>620</v>
      </c>
      <c r="L123" s="28" t="s">
        <v>620</v>
      </c>
      <c r="M123" s="28" t="s">
        <v>620</v>
      </c>
      <c r="N123" s="26" t="s">
        <v>637</v>
      </c>
      <c r="O123" s="47">
        <v>810</v>
      </c>
      <c r="P123" s="26"/>
      <c r="Q123" s="26" t="s">
        <v>7</v>
      </c>
      <c r="R123" s="26" t="s">
        <v>82</v>
      </c>
      <c r="S123" s="26" t="s">
        <v>1168</v>
      </c>
      <c r="T123" s="26"/>
      <c r="U123" s="26"/>
      <c r="V123" s="26" t="s">
        <v>84</v>
      </c>
      <c r="W123" s="28" t="s">
        <v>620</v>
      </c>
      <c r="X123" s="28" t="s">
        <v>620</v>
      </c>
      <c r="Y123" s="28" t="s">
        <v>620</v>
      </c>
      <c r="Z123" s="28" t="s">
        <v>620</v>
      </c>
      <c r="AA123" s="28" t="s">
        <v>620</v>
      </c>
      <c r="AB123" s="28" t="s">
        <v>620</v>
      </c>
      <c r="AC123" s="28" t="s">
        <v>1227</v>
      </c>
      <c r="AD123" s="28" t="s">
        <v>620</v>
      </c>
      <c r="AE123" s="27" t="s">
        <v>795</v>
      </c>
      <c r="AF123" s="27" t="s">
        <v>796</v>
      </c>
      <c r="AG123" s="27" t="s">
        <v>725</v>
      </c>
      <c r="AH123" s="27" t="s">
        <v>631</v>
      </c>
    </row>
    <row r="124" spans="1:34" ht="22.5" x14ac:dyDescent="0.2">
      <c r="A124" s="28" t="s">
        <v>1040</v>
      </c>
      <c r="B124" s="31" t="s">
        <v>623</v>
      </c>
      <c r="C124" s="26" t="s">
        <v>64</v>
      </c>
      <c r="D124" s="26" t="s">
        <v>79</v>
      </c>
      <c r="E124" s="29" t="s">
        <v>85</v>
      </c>
      <c r="F124" s="28" t="s">
        <v>86</v>
      </c>
      <c r="G124" s="26" t="s">
        <v>6</v>
      </c>
      <c r="H124" s="26" t="s">
        <v>889</v>
      </c>
      <c r="I124" s="32">
        <f>(Metodologia[[#This Row],[Visites]]*0.15)/MAX(Metodologia[Visites])</f>
        <v>6.390559315324146E-4</v>
      </c>
      <c r="J124" s="26"/>
      <c r="K124" s="28" t="s">
        <v>620</v>
      </c>
      <c r="L124" s="28" t="s">
        <v>620</v>
      </c>
      <c r="M124" s="28" t="s">
        <v>620</v>
      </c>
      <c r="N124" s="26" t="s">
        <v>637</v>
      </c>
      <c r="O124" s="47">
        <v>1808</v>
      </c>
      <c r="P124" s="26"/>
      <c r="Q124" s="26" t="s">
        <v>7</v>
      </c>
      <c r="R124" s="26" t="s">
        <v>87</v>
      </c>
      <c r="S124" s="26" t="s">
        <v>1169</v>
      </c>
      <c r="T124" s="26"/>
      <c r="U124" s="26"/>
      <c r="V124" s="26" t="s">
        <v>88</v>
      </c>
      <c r="W124" s="28" t="s">
        <v>620</v>
      </c>
      <c r="X124" s="28" t="s">
        <v>620</v>
      </c>
      <c r="Y124" s="28" t="s">
        <v>620</v>
      </c>
      <c r="Z124" s="28" t="s">
        <v>620</v>
      </c>
      <c r="AA124" s="28" t="s">
        <v>620</v>
      </c>
      <c r="AB124" s="28" t="s">
        <v>620</v>
      </c>
      <c r="AC124" s="28" t="s">
        <v>620</v>
      </c>
      <c r="AD124" s="28" t="s">
        <v>620</v>
      </c>
      <c r="AE124" s="27" t="s">
        <v>797</v>
      </c>
      <c r="AF124" s="27" t="s">
        <v>798</v>
      </c>
      <c r="AG124" s="27" t="s">
        <v>725</v>
      </c>
      <c r="AH124" s="27" t="s">
        <v>631</v>
      </c>
    </row>
    <row r="125" spans="1:34" ht="22.5" x14ac:dyDescent="0.2">
      <c r="A125" s="28" t="s">
        <v>1034</v>
      </c>
      <c r="B125" s="31" t="s">
        <v>625</v>
      </c>
      <c r="C125" s="26" t="s">
        <v>64</v>
      </c>
      <c r="D125" s="26" t="s">
        <v>79</v>
      </c>
      <c r="E125" s="29" t="s">
        <v>272</v>
      </c>
      <c r="F125" s="28" t="s">
        <v>273</v>
      </c>
      <c r="G125" s="26" t="s">
        <v>6</v>
      </c>
      <c r="H125" s="26" t="s">
        <v>889</v>
      </c>
      <c r="I125" s="32">
        <f>(Metodologia[[#This Row],[Visites]]*0.15)/MAX(Metodologia[Visites])</f>
        <v>3.5982242162610511E-4</v>
      </c>
      <c r="J125" s="26"/>
      <c r="K125" s="28" t="s">
        <v>620</v>
      </c>
      <c r="L125" s="28" t="s">
        <v>620</v>
      </c>
      <c r="M125" s="28" t="s">
        <v>621</v>
      </c>
      <c r="N125" s="26" t="s">
        <v>632</v>
      </c>
      <c r="O125" s="47">
        <v>1018</v>
      </c>
      <c r="P125" s="26"/>
      <c r="Q125" s="26" t="s">
        <v>7</v>
      </c>
      <c r="R125" s="26" t="s">
        <v>274</v>
      </c>
      <c r="S125" s="26"/>
      <c r="T125" s="26"/>
      <c r="U125" s="26"/>
      <c r="V125" s="26" t="s">
        <v>275</v>
      </c>
      <c r="W125" s="28" t="s">
        <v>620</v>
      </c>
      <c r="X125" s="28" t="s">
        <v>620</v>
      </c>
      <c r="Y125" s="28" t="s">
        <v>620</v>
      </c>
      <c r="Z125" s="28" t="s">
        <v>620</v>
      </c>
      <c r="AA125" s="28" t="s">
        <v>620</v>
      </c>
      <c r="AB125" s="28" t="s">
        <v>620</v>
      </c>
      <c r="AC125" s="28" t="s">
        <v>620</v>
      </c>
      <c r="AD125" s="28" t="s">
        <v>620</v>
      </c>
      <c r="AE125" s="27" t="s">
        <v>786</v>
      </c>
      <c r="AF125" s="27" t="s">
        <v>787</v>
      </c>
      <c r="AG125" s="27" t="s">
        <v>713</v>
      </c>
      <c r="AH125" s="27" t="s">
        <v>631</v>
      </c>
    </row>
    <row r="126" spans="1:34" ht="33.75" x14ac:dyDescent="0.2">
      <c r="A126" s="28" t="s">
        <v>1041</v>
      </c>
      <c r="B126" s="31" t="s">
        <v>622</v>
      </c>
      <c r="C126" s="26" t="s">
        <v>64</v>
      </c>
      <c r="D126" s="26" t="s">
        <v>65</v>
      </c>
      <c r="E126" s="29" t="s">
        <v>66</v>
      </c>
      <c r="F126" s="28" t="s">
        <v>67</v>
      </c>
      <c r="G126" s="26" t="s">
        <v>20</v>
      </c>
      <c r="H126" s="26" t="s">
        <v>889</v>
      </c>
      <c r="I126" s="32">
        <f>(Metodologia[[#This Row],[Visites]]*0.15)/MAX(Metodologia[Visites])</f>
        <v>3.3207580070503513E-2</v>
      </c>
      <c r="J126" s="26" t="s">
        <v>604</v>
      </c>
      <c r="K126" s="28" t="s">
        <v>620</v>
      </c>
      <c r="L126" s="28" t="s">
        <v>621</v>
      </c>
      <c r="M126" s="28" t="s">
        <v>620</v>
      </c>
      <c r="N126" s="26" t="s">
        <v>632</v>
      </c>
      <c r="O126" s="47">
        <v>93950</v>
      </c>
      <c r="P126" s="26" t="s">
        <v>1123</v>
      </c>
      <c r="Q126" s="26" t="s">
        <v>54</v>
      </c>
      <c r="R126" s="26" t="s">
        <v>68</v>
      </c>
      <c r="S126" s="26"/>
      <c r="T126" s="26"/>
      <c r="U126" s="26"/>
      <c r="V126" s="26" t="s">
        <v>69</v>
      </c>
      <c r="W126" s="28" t="s">
        <v>620</v>
      </c>
      <c r="X126" s="28" t="s">
        <v>1227</v>
      </c>
      <c r="Y126" s="28" t="s">
        <v>1227</v>
      </c>
      <c r="Z126" s="28" t="s">
        <v>1227</v>
      </c>
      <c r="AA126" s="28" t="s">
        <v>1227</v>
      </c>
      <c r="AB126" s="28" t="s">
        <v>1227</v>
      </c>
      <c r="AC126" s="28" t="s">
        <v>620</v>
      </c>
      <c r="AD126" s="28" t="s">
        <v>620</v>
      </c>
      <c r="AE126" s="27" t="s">
        <v>799</v>
      </c>
      <c r="AF126" s="27" t="s">
        <v>800</v>
      </c>
      <c r="AG126" s="27" t="s">
        <v>672</v>
      </c>
      <c r="AH126" s="27" t="s">
        <v>631</v>
      </c>
    </row>
    <row r="127" spans="1:34" ht="33.75" x14ac:dyDescent="0.2">
      <c r="A127" s="28" t="s">
        <v>1042</v>
      </c>
      <c r="B127" s="31" t="s">
        <v>626</v>
      </c>
      <c r="C127" s="26" t="s">
        <v>64</v>
      </c>
      <c r="D127" s="26" t="s">
        <v>65</v>
      </c>
      <c r="E127" s="29" t="s">
        <v>94</v>
      </c>
      <c r="F127" s="28" t="s">
        <v>95</v>
      </c>
      <c r="G127" s="26" t="s">
        <v>96</v>
      </c>
      <c r="H127" s="26"/>
      <c r="I127" s="32">
        <f>(Metodologia[[#This Row],[Visites]]*0.15)/MAX(Metodologia[Visites])</f>
        <v>6.8991884555205758E-3</v>
      </c>
      <c r="J127" s="26"/>
      <c r="K127" s="28" t="s">
        <v>621</v>
      </c>
      <c r="L127" s="28" t="s">
        <v>621</v>
      </c>
      <c r="M127" s="28" t="s">
        <v>621</v>
      </c>
      <c r="N127" s="26" t="s">
        <v>632</v>
      </c>
      <c r="O127" s="47">
        <v>19519</v>
      </c>
      <c r="P127" s="26" t="s">
        <v>1170</v>
      </c>
      <c r="Q127" s="26" t="s">
        <v>54</v>
      </c>
      <c r="R127" s="26"/>
      <c r="S127" s="26"/>
      <c r="T127" s="26"/>
      <c r="U127" s="26" t="s">
        <v>97</v>
      </c>
      <c r="V127" s="26" t="s">
        <v>98</v>
      </c>
      <c r="W127" s="28" t="s">
        <v>620</v>
      </c>
      <c r="X127" s="28" t="s">
        <v>1227</v>
      </c>
      <c r="Y127" s="28" t="s">
        <v>1227</v>
      </c>
      <c r="Z127" s="28" t="s">
        <v>1227</v>
      </c>
      <c r="AA127" s="28" t="s">
        <v>1227</v>
      </c>
      <c r="AB127" s="28" t="s">
        <v>1227</v>
      </c>
      <c r="AC127" s="28" t="s">
        <v>1227</v>
      </c>
      <c r="AD127" s="28" t="s">
        <v>1227</v>
      </c>
      <c r="AE127" s="27" t="s">
        <v>715</v>
      </c>
      <c r="AF127" s="27" t="s">
        <v>716</v>
      </c>
      <c r="AG127" s="27" t="s">
        <v>717</v>
      </c>
      <c r="AH127" s="27" t="s">
        <v>646</v>
      </c>
    </row>
    <row r="128" spans="1:34" ht="33.75" x14ac:dyDescent="0.2">
      <c r="A128" s="28" t="s">
        <v>1043</v>
      </c>
      <c r="B128" s="31" t="s">
        <v>622</v>
      </c>
      <c r="C128" s="26" t="s">
        <v>64</v>
      </c>
      <c r="D128" s="26" t="s">
        <v>65</v>
      </c>
      <c r="E128" s="29" t="s">
        <v>121</v>
      </c>
      <c r="F128" s="28" t="s">
        <v>122</v>
      </c>
      <c r="G128" s="26" t="s">
        <v>96</v>
      </c>
      <c r="H128" s="26" t="s">
        <v>889</v>
      </c>
      <c r="I128" s="32">
        <f>(Metodologia[[#This Row],[Visites]]*0.15)/MAX(Metodologia[Visites])</f>
        <v>6.1367749354346137E-3</v>
      </c>
      <c r="J128" s="26"/>
      <c r="K128" s="28" t="s">
        <v>620</v>
      </c>
      <c r="L128" s="28" t="s">
        <v>620</v>
      </c>
      <c r="M128" s="28" t="s">
        <v>620</v>
      </c>
      <c r="N128" s="26" t="s">
        <v>632</v>
      </c>
      <c r="O128" s="47">
        <v>17362</v>
      </c>
      <c r="P128" s="26" t="s">
        <v>1171</v>
      </c>
      <c r="Q128" s="26" t="s">
        <v>54</v>
      </c>
      <c r="R128" s="26" t="s">
        <v>82</v>
      </c>
      <c r="S128" s="26"/>
      <c r="T128" s="26"/>
      <c r="U128" s="26"/>
      <c r="V128" s="26" t="s">
        <v>123</v>
      </c>
      <c r="W128" s="28" t="s">
        <v>620</v>
      </c>
      <c r="X128" s="28" t="s">
        <v>620</v>
      </c>
      <c r="Y128" s="28" t="s">
        <v>620</v>
      </c>
      <c r="Z128" s="28" t="s">
        <v>1227</v>
      </c>
      <c r="AA128" s="28" t="s">
        <v>1227</v>
      </c>
      <c r="AB128" s="28" t="s">
        <v>620</v>
      </c>
      <c r="AC128" s="28" t="s">
        <v>1227</v>
      </c>
      <c r="AD128" s="28" t="s">
        <v>620</v>
      </c>
      <c r="AE128" s="27" t="s">
        <v>715</v>
      </c>
      <c r="AF128" s="27" t="s">
        <v>716</v>
      </c>
      <c r="AG128" s="27" t="s">
        <v>717</v>
      </c>
      <c r="AH128" s="27" t="s">
        <v>638</v>
      </c>
    </row>
    <row r="129" spans="1:34" ht="22.5" x14ac:dyDescent="0.2">
      <c r="A129" s="28" t="s">
        <v>1044</v>
      </c>
      <c r="B129" s="31" t="s">
        <v>626</v>
      </c>
      <c r="C129" s="26" t="s">
        <v>64</v>
      </c>
      <c r="D129" s="26" t="s">
        <v>65</v>
      </c>
      <c r="E129" s="29" t="s">
        <v>223</v>
      </c>
      <c r="F129" s="28" t="s">
        <v>224</v>
      </c>
      <c r="G129" s="26" t="s">
        <v>24</v>
      </c>
      <c r="H129" s="26"/>
      <c r="I129" s="32">
        <f>(Metodologia[[#This Row],[Visites]]*0.15)/MAX(Metodologia[Visites])</f>
        <v>2.885648575791279E-3</v>
      </c>
      <c r="J129" s="26"/>
      <c r="K129" s="28" t="s">
        <v>621</v>
      </c>
      <c r="L129" s="28" t="s">
        <v>621</v>
      </c>
      <c r="M129" s="28" t="s">
        <v>621</v>
      </c>
      <c r="N129" s="26" t="s">
        <v>632</v>
      </c>
      <c r="O129" s="47">
        <v>8164</v>
      </c>
      <c r="P129" s="26"/>
      <c r="Q129" s="26" t="s">
        <v>54</v>
      </c>
      <c r="R129" s="26" t="s">
        <v>1172</v>
      </c>
      <c r="S129" s="26"/>
      <c r="T129" s="26"/>
      <c r="U129" s="26"/>
      <c r="V129" s="26" t="s">
        <v>225</v>
      </c>
      <c r="W129" s="28" t="s">
        <v>620</v>
      </c>
      <c r="X129" s="28" t="s">
        <v>621</v>
      </c>
      <c r="Y129" s="28" t="s">
        <v>621</v>
      </c>
      <c r="Z129" s="28" t="s">
        <v>621</v>
      </c>
      <c r="AA129" s="28" t="s">
        <v>621</v>
      </c>
      <c r="AB129" s="28" t="s">
        <v>621</v>
      </c>
      <c r="AC129" s="28" t="s">
        <v>621</v>
      </c>
      <c r="AD129" s="28" t="s">
        <v>621</v>
      </c>
      <c r="AE129" s="27" t="s">
        <v>801</v>
      </c>
      <c r="AF129" s="27" t="s">
        <v>802</v>
      </c>
      <c r="AG129" s="27" t="s">
        <v>794</v>
      </c>
      <c r="AH129" s="27" t="s">
        <v>631</v>
      </c>
    </row>
    <row r="130" spans="1:34" ht="33.75" x14ac:dyDescent="0.2">
      <c r="A130" s="28" t="s">
        <v>1045</v>
      </c>
      <c r="B130" s="31" t="s">
        <v>626</v>
      </c>
      <c r="C130" s="26" t="s">
        <v>64</v>
      </c>
      <c r="D130" s="26" t="s">
        <v>111</v>
      </c>
      <c r="E130" s="29" t="s">
        <v>317</v>
      </c>
      <c r="F130" s="28" t="s">
        <v>318</v>
      </c>
      <c r="G130" s="26" t="s">
        <v>24</v>
      </c>
      <c r="H130" s="26"/>
      <c r="I130" s="32">
        <f>(Metodologia[[#This Row],[Visites]]*0.15)/MAX(Metodologia[Visites])</f>
        <v>0.15</v>
      </c>
      <c r="J130" s="26" t="s">
        <v>604</v>
      </c>
      <c r="K130" s="28" t="s">
        <v>621</v>
      </c>
      <c r="L130" s="28" t="s">
        <v>621</v>
      </c>
      <c r="M130" s="28" t="s">
        <v>621</v>
      </c>
      <c r="N130" s="26" t="s">
        <v>632</v>
      </c>
      <c r="O130" s="47">
        <v>424376</v>
      </c>
      <c r="P130" s="26"/>
      <c r="Q130" s="26" t="s">
        <v>54</v>
      </c>
      <c r="R130" s="26"/>
      <c r="S130" s="26"/>
      <c r="T130" s="26"/>
      <c r="U130" s="26" t="s">
        <v>33</v>
      </c>
      <c r="V130" s="26" t="s">
        <v>319</v>
      </c>
      <c r="W130" s="28" t="s">
        <v>620</v>
      </c>
      <c r="X130" s="28" t="s">
        <v>1227</v>
      </c>
      <c r="Y130" s="28" t="s">
        <v>1227</v>
      </c>
      <c r="Z130" s="28" t="s">
        <v>1227</v>
      </c>
      <c r="AA130" s="28" t="s">
        <v>1227</v>
      </c>
      <c r="AB130" s="28" t="s">
        <v>1227</v>
      </c>
      <c r="AC130" s="28" t="s">
        <v>1227</v>
      </c>
      <c r="AD130" s="28" t="s">
        <v>1227</v>
      </c>
      <c r="AE130" s="27" t="s">
        <v>803</v>
      </c>
      <c r="AF130" s="27" t="s">
        <v>804</v>
      </c>
      <c r="AG130" s="27" t="s">
        <v>794</v>
      </c>
      <c r="AH130" s="27" t="s">
        <v>646</v>
      </c>
    </row>
    <row r="131" spans="1:34" ht="45" x14ac:dyDescent="0.2">
      <c r="A131" s="28" t="s">
        <v>1046</v>
      </c>
      <c r="B131" s="31" t="s">
        <v>626</v>
      </c>
      <c r="C131" s="26" t="s">
        <v>64</v>
      </c>
      <c r="D131" s="26" t="s">
        <v>111</v>
      </c>
      <c r="E131" s="29" t="s">
        <v>250</v>
      </c>
      <c r="F131" s="28" t="s">
        <v>251</v>
      </c>
      <c r="G131" s="26" t="s">
        <v>24</v>
      </c>
      <c r="H131" s="26"/>
      <c r="I131" s="32">
        <f>(Metodologia[[#This Row],[Visites]]*0.15)/MAX(Metodologia[Visites])</f>
        <v>3.5108488698701153E-2</v>
      </c>
      <c r="J131" s="26" t="s">
        <v>604</v>
      </c>
      <c r="K131" s="28" t="s">
        <v>621</v>
      </c>
      <c r="L131" s="28" t="s">
        <v>621</v>
      </c>
      <c r="M131" s="28" t="s">
        <v>621</v>
      </c>
      <c r="N131" s="26" t="s">
        <v>632</v>
      </c>
      <c r="O131" s="47">
        <v>99328</v>
      </c>
      <c r="P131" s="26"/>
      <c r="Q131" s="26" t="s">
        <v>54</v>
      </c>
      <c r="R131" s="26"/>
      <c r="S131" s="26"/>
      <c r="T131" s="26"/>
      <c r="U131" s="26" t="s">
        <v>246</v>
      </c>
      <c r="V131" s="26" t="s">
        <v>252</v>
      </c>
      <c r="W131" s="28" t="s">
        <v>620</v>
      </c>
      <c r="X131" s="28" t="s">
        <v>621</v>
      </c>
      <c r="Y131" s="28" t="s">
        <v>621</v>
      </c>
      <c r="Z131" s="28" t="s">
        <v>621</v>
      </c>
      <c r="AA131" s="28" t="s">
        <v>621</v>
      </c>
      <c r="AB131" s="28" t="s">
        <v>621</v>
      </c>
      <c r="AC131" s="28" t="s">
        <v>621</v>
      </c>
      <c r="AD131" s="28" t="s">
        <v>620</v>
      </c>
      <c r="AE131" s="27" t="s">
        <v>805</v>
      </c>
      <c r="AF131" s="27" t="s">
        <v>806</v>
      </c>
      <c r="AG131" s="27" t="s">
        <v>794</v>
      </c>
      <c r="AH131" s="27" t="s">
        <v>646</v>
      </c>
    </row>
    <row r="132" spans="1:34" ht="33.75" x14ac:dyDescent="0.2">
      <c r="A132" s="28" t="s">
        <v>1047</v>
      </c>
      <c r="B132" s="31" t="s">
        <v>626</v>
      </c>
      <c r="C132" s="26" t="s">
        <v>64</v>
      </c>
      <c r="D132" s="26" t="s">
        <v>111</v>
      </c>
      <c r="E132" s="29" t="s">
        <v>373</v>
      </c>
      <c r="F132" s="28" t="s">
        <v>374</v>
      </c>
      <c r="G132" s="26" t="s">
        <v>96</v>
      </c>
      <c r="H132" s="26"/>
      <c r="I132" s="32">
        <f>(Metodologia[[#This Row],[Visites]]*0.15)/MAX(Metodologia[Visites])</f>
        <v>2.6326064621939035E-2</v>
      </c>
      <c r="J132" s="26" t="s">
        <v>604</v>
      </c>
      <c r="K132" s="28" t="s">
        <v>621</v>
      </c>
      <c r="L132" s="28" t="s">
        <v>621</v>
      </c>
      <c r="M132" s="28" t="s">
        <v>621</v>
      </c>
      <c r="N132" s="26" t="s">
        <v>632</v>
      </c>
      <c r="O132" s="47">
        <v>74481</v>
      </c>
      <c r="P132" s="26" t="s">
        <v>1173</v>
      </c>
      <c r="Q132" s="26" t="s">
        <v>54</v>
      </c>
      <c r="R132" s="26"/>
      <c r="S132" s="26"/>
      <c r="T132" s="26"/>
      <c r="U132" s="26" t="s">
        <v>33</v>
      </c>
      <c r="V132" s="26" t="s">
        <v>375</v>
      </c>
      <c r="W132" s="28" t="s">
        <v>620</v>
      </c>
      <c r="X132" s="28" t="s">
        <v>1227</v>
      </c>
      <c r="Y132" s="28" t="s">
        <v>1227</v>
      </c>
      <c r="Z132" s="28" t="s">
        <v>1227</v>
      </c>
      <c r="AA132" s="28" t="s">
        <v>1227</v>
      </c>
      <c r="AB132" s="28" t="s">
        <v>1227</v>
      </c>
      <c r="AC132" s="28" t="s">
        <v>1227</v>
      </c>
      <c r="AD132" s="28" t="s">
        <v>1227</v>
      </c>
      <c r="AE132" s="27" t="s">
        <v>715</v>
      </c>
      <c r="AF132" s="27" t="s">
        <v>716</v>
      </c>
      <c r="AG132" s="27" t="s">
        <v>717</v>
      </c>
      <c r="AH132" s="27" t="s">
        <v>646</v>
      </c>
    </row>
    <row r="133" spans="1:34" ht="45" x14ac:dyDescent="0.2">
      <c r="A133" s="28" t="s">
        <v>1048</v>
      </c>
      <c r="B133" s="31" t="s">
        <v>626</v>
      </c>
      <c r="C133" s="26" t="s">
        <v>64</v>
      </c>
      <c r="D133" s="26" t="s">
        <v>111</v>
      </c>
      <c r="E133" s="29" t="s">
        <v>244</v>
      </c>
      <c r="F133" s="28" t="s">
        <v>245</v>
      </c>
      <c r="G133" s="26" t="s">
        <v>96</v>
      </c>
      <c r="H133" s="26"/>
      <c r="I133" s="32">
        <f>(Metodologia[[#This Row],[Visites]]*0.15)/MAX(Metodologia[Visites])</f>
        <v>1.2151606122872168E-2</v>
      </c>
      <c r="J133" s="26" t="s">
        <v>604</v>
      </c>
      <c r="K133" s="28" t="s">
        <v>621</v>
      </c>
      <c r="L133" s="28" t="s">
        <v>620</v>
      </c>
      <c r="M133" s="28" t="s">
        <v>621</v>
      </c>
      <c r="N133" s="26" t="s">
        <v>632</v>
      </c>
      <c r="O133" s="47">
        <v>34379</v>
      </c>
      <c r="P133" s="26" t="s">
        <v>1174</v>
      </c>
      <c r="Q133" s="26" t="s">
        <v>54</v>
      </c>
      <c r="R133" s="26"/>
      <c r="S133" s="26"/>
      <c r="T133" s="26"/>
      <c r="U133" s="26" t="s">
        <v>246</v>
      </c>
      <c r="V133" s="26" t="s">
        <v>247</v>
      </c>
      <c r="W133" s="28" t="s">
        <v>620</v>
      </c>
      <c r="X133" s="28" t="s">
        <v>1227</v>
      </c>
      <c r="Y133" s="28" t="s">
        <v>1227</v>
      </c>
      <c r="Z133" s="28" t="s">
        <v>1227</v>
      </c>
      <c r="AA133" s="28" t="s">
        <v>1227</v>
      </c>
      <c r="AB133" s="28" t="s">
        <v>1227</v>
      </c>
      <c r="AC133" s="28" t="s">
        <v>1227</v>
      </c>
      <c r="AD133" s="28" t="s">
        <v>1227</v>
      </c>
      <c r="AE133" s="27" t="s">
        <v>715</v>
      </c>
      <c r="AF133" s="27" t="s">
        <v>716</v>
      </c>
      <c r="AG133" s="27" t="s">
        <v>717</v>
      </c>
      <c r="AH133" s="27" t="s">
        <v>646</v>
      </c>
    </row>
    <row r="134" spans="1:34" ht="22.5" x14ac:dyDescent="0.2">
      <c r="A134" s="28" t="s">
        <v>1049</v>
      </c>
      <c r="B134" s="31" t="s">
        <v>624</v>
      </c>
      <c r="C134" s="26" t="s">
        <v>64</v>
      </c>
      <c r="D134" s="26" t="s">
        <v>111</v>
      </c>
      <c r="E134" s="29" t="s">
        <v>536</v>
      </c>
      <c r="F134" s="28" t="s">
        <v>537</v>
      </c>
      <c r="G134" s="26" t="s">
        <v>24</v>
      </c>
      <c r="H134" s="26" t="s">
        <v>889</v>
      </c>
      <c r="I134" s="32">
        <f>(Metodologia[[#This Row],[Visites]]*0.15)/MAX(Metodologia[Visites])</f>
        <v>5.0088836314965976E-3</v>
      </c>
      <c r="J134" s="26" t="s">
        <v>604</v>
      </c>
      <c r="K134" s="28" t="s">
        <v>620</v>
      </c>
      <c r="L134" s="28" t="s">
        <v>621</v>
      </c>
      <c r="M134" s="28" t="s">
        <v>621</v>
      </c>
      <c r="N134" s="26" t="s">
        <v>632</v>
      </c>
      <c r="O134" s="47">
        <v>14171</v>
      </c>
      <c r="P134" s="26"/>
      <c r="Q134" s="26" t="s">
        <v>54</v>
      </c>
      <c r="R134" s="26" t="s">
        <v>538</v>
      </c>
      <c r="S134" s="26" t="s">
        <v>1175</v>
      </c>
      <c r="T134" s="26"/>
      <c r="U134" s="26"/>
      <c r="V134" s="26" t="s">
        <v>539</v>
      </c>
      <c r="W134" s="28" t="s">
        <v>620</v>
      </c>
      <c r="X134" s="28" t="s">
        <v>620</v>
      </c>
      <c r="Y134" s="28" t="s">
        <v>620</v>
      </c>
      <c r="Z134" s="28" t="s">
        <v>620</v>
      </c>
      <c r="AA134" s="28" t="s">
        <v>620</v>
      </c>
      <c r="AB134" s="28" t="s">
        <v>620</v>
      </c>
      <c r="AC134" s="28" t="s">
        <v>620</v>
      </c>
      <c r="AD134" s="28" t="s">
        <v>620</v>
      </c>
      <c r="AE134" s="27" t="s">
        <v>807</v>
      </c>
      <c r="AF134" s="27" t="s">
        <v>808</v>
      </c>
      <c r="AG134" s="27" t="s">
        <v>794</v>
      </c>
      <c r="AH134" s="27" t="s">
        <v>631</v>
      </c>
    </row>
    <row r="135" spans="1:34" ht="22.5" x14ac:dyDescent="0.2">
      <c r="A135" s="28" t="s">
        <v>1050</v>
      </c>
      <c r="B135" s="31" t="s">
        <v>624</v>
      </c>
      <c r="C135" s="26" t="s">
        <v>64</v>
      </c>
      <c r="D135" s="26" t="s">
        <v>111</v>
      </c>
      <c r="E135" s="29" t="s">
        <v>543</v>
      </c>
      <c r="F135" s="28" t="s">
        <v>544</v>
      </c>
      <c r="G135" s="26" t="s">
        <v>24</v>
      </c>
      <c r="H135" s="26" t="s">
        <v>889</v>
      </c>
      <c r="I135" s="32">
        <f>(Metodologia[[#This Row],[Visites]]*0.15)/MAX(Metodologia[Visites])</f>
        <v>9.4865166738929627E-3</v>
      </c>
      <c r="J135" s="26" t="s">
        <v>604</v>
      </c>
      <c r="K135" s="28" t="s">
        <v>620</v>
      </c>
      <c r="L135" s="28" t="s">
        <v>621</v>
      </c>
      <c r="M135" s="28" t="s">
        <v>621</v>
      </c>
      <c r="N135" s="26" t="s">
        <v>632</v>
      </c>
      <c r="O135" s="47">
        <v>26839</v>
      </c>
      <c r="P135" s="26"/>
      <c r="Q135" s="26" t="s">
        <v>54</v>
      </c>
      <c r="R135" s="26" t="s">
        <v>1176</v>
      </c>
      <c r="S135" s="26"/>
      <c r="T135" s="26"/>
      <c r="U135" s="26"/>
      <c r="V135" s="26" t="s">
        <v>545</v>
      </c>
      <c r="W135" s="28" t="s">
        <v>620</v>
      </c>
      <c r="X135" s="28" t="s">
        <v>620</v>
      </c>
      <c r="Y135" s="28" t="s">
        <v>620</v>
      </c>
      <c r="Z135" s="28" t="s">
        <v>620</v>
      </c>
      <c r="AA135" s="28" t="s">
        <v>620</v>
      </c>
      <c r="AB135" s="28" t="s">
        <v>620</v>
      </c>
      <c r="AC135" s="28" t="s">
        <v>620</v>
      </c>
      <c r="AD135" s="28" t="s">
        <v>620</v>
      </c>
      <c r="AE135" s="27" t="s">
        <v>809</v>
      </c>
      <c r="AF135" s="27" t="s">
        <v>810</v>
      </c>
      <c r="AG135" s="27" t="s">
        <v>794</v>
      </c>
      <c r="AH135" s="27" t="s">
        <v>631</v>
      </c>
    </row>
    <row r="136" spans="1:34" ht="33.75" x14ac:dyDescent="0.2">
      <c r="A136" s="28" t="s">
        <v>1051</v>
      </c>
      <c r="B136" s="31" t="s">
        <v>626</v>
      </c>
      <c r="C136" s="26" t="s">
        <v>64</v>
      </c>
      <c r="D136" s="26" t="s">
        <v>111</v>
      </c>
      <c r="E136" s="29" t="s">
        <v>605</v>
      </c>
      <c r="F136" s="28" t="s">
        <v>218</v>
      </c>
      <c r="G136" s="26" t="s">
        <v>96</v>
      </c>
      <c r="H136" s="26"/>
      <c r="I136" s="32">
        <f>(Metodologia[[#This Row],[Visites]]*0.15)/MAX(Metodologia[Visites])</f>
        <v>1.725521707165344E-2</v>
      </c>
      <c r="J136" s="26" t="s">
        <v>604</v>
      </c>
      <c r="K136" s="28" t="s">
        <v>621</v>
      </c>
      <c r="L136" s="28" t="s">
        <v>620</v>
      </c>
      <c r="M136" s="28" t="s">
        <v>621</v>
      </c>
      <c r="N136" s="26" t="s">
        <v>632</v>
      </c>
      <c r="O136" s="47">
        <v>48818</v>
      </c>
      <c r="P136" s="26" t="s">
        <v>1177</v>
      </c>
      <c r="Q136" s="26" t="s">
        <v>54</v>
      </c>
      <c r="R136" s="26"/>
      <c r="S136" s="26"/>
      <c r="T136" s="26"/>
      <c r="U136" s="26" t="s">
        <v>33</v>
      </c>
      <c r="V136" s="26" t="s">
        <v>219</v>
      </c>
      <c r="W136" s="28" t="s">
        <v>620</v>
      </c>
      <c r="X136" s="28" t="s">
        <v>1227</v>
      </c>
      <c r="Y136" s="28" t="s">
        <v>1227</v>
      </c>
      <c r="Z136" s="28" t="s">
        <v>1227</v>
      </c>
      <c r="AA136" s="28" t="s">
        <v>1227</v>
      </c>
      <c r="AB136" s="28" t="s">
        <v>1227</v>
      </c>
      <c r="AC136" s="28" t="s">
        <v>1227</v>
      </c>
      <c r="AD136" s="28" t="s">
        <v>1227</v>
      </c>
      <c r="AE136" s="27" t="s">
        <v>715</v>
      </c>
      <c r="AF136" s="27" t="s">
        <v>716</v>
      </c>
      <c r="AG136" s="27" t="s">
        <v>717</v>
      </c>
      <c r="AH136" s="27" t="s">
        <v>646</v>
      </c>
    </row>
    <row r="137" spans="1:34" ht="33.75" x14ac:dyDescent="0.2">
      <c r="A137" s="28" t="s">
        <v>1052</v>
      </c>
      <c r="B137" s="31" t="s">
        <v>622</v>
      </c>
      <c r="C137" s="26" t="s">
        <v>64</v>
      </c>
      <c r="D137" s="26" t="s">
        <v>111</v>
      </c>
      <c r="E137" s="29" t="s">
        <v>116</v>
      </c>
      <c r="F137" s="28" t="s">
        <v>117</v>
      </c>
      <c r="G137" s="26" t="s">
        <v>96</v>
      </c>
      <c r="H137" s="26" t="s">
        <v>889</v>
      </c>
      <c r="I137" s="32">
        <f>(Metodologia[[#This Row],[Visites]]*0.15)/MAX(Metodologia[Visites])</f>
        <v>3.0116924614021528E-2</v>
      </c>
      <c r="J137" s="26" t="s">
        <v>604</v>
      </c>
      <c r="K137" s="28" t="s">
        <v>620</v>
      </c>
      <c r="L137" s="28" t="s">
        <v>621</v>
      </c>
      <c r="M137" s="28" t="s">
        <v>620</v>
      </c>
      <c r="N137" s="26" t="s">
        <v>632</v>
      </c>
      <c r="O137" s="47">
        <v>85206</v>
      </c>
      <c r="P137" s="26" t="s">
        <v>1178</v>
      </c>
      <c r="Q137" s="26" t="s">
        <v>54</v>
      </c>
      <c r="R137" s="26" t="s">
        <v>118</v>
      </c>
      <c r="S137" s="26"/>
      <c r="T137" s="26" t="s">
        <v>119</v>
      </c>
      <c r="U137" s="26"/>
      <c r="V137" s="26" t="s">
        <v>120</v>
      </c>
      <c r="W137" s="28" t="s">
        <v>620</v>
      </c>
      <c r="X137" s="28" t="s">
        <v>620</v>
      </c>
      <c r="Y137" s="28" t="s">
        <v>620</v>
      </c>
      <c r="Z137" s="28" t="s">
        <v>620</v>
      </c>
      <c r="AA137" s="28" t="s">
        <v>620</v>
      </c>
      <c r="AB137" s="28" t="s">
        <v>620</v>
      </c>
      <c r="AC137" s="28" t="s">
        <v>620</v>
      </c>
      <c r="AD137" s="28" t="s">
        <v>620</v>
      </c>
      <c r="AE137" s="27" t="s">
        <v>715</v>
      </c>
      <c r="AF137" s="27" t="s">
        <v>716</v>
      </c>
      <c r="AG137" s="27" t="s">
        <v>717</v>
      </c>
      <c r="AH137" s="27" t="s">
        <v>638</v>
      </c>
    </row>
    <row r="138" spans="1:34" ht="33.75" x14ac:dyDescent="0.2">
      <c r="A138" s="28" t="s">
        <v>1053</v>
      </c>
      <c r="B138" s="31" t="s">
        <v>626</v>
      </c>
      <c r="C138" s="26" t="s">
        <v>64</v>
      </c>
      <c r="D138" s="26" t="s">
        <v>111</v>
      </c>
      <c r="E138" s="29" t="s">
        <v>112</v>
      </c>
      <c r="F138" s="28" t="s">
        <v>113</v>
      </c>
      <c r="G138" s="26" t="s">
        <v>6</v>
      </c>
      <c r="H138" s="26"/>
      <c r="I138" s="32">
        <f>(Metodologia[[#This Row],[Visites]]*0.15)/MAX(Metodologia[Visites])</f>
        <v>4.5136859765867998E-4</v>
      </c>
      <c r="J138" s="26" t="s">
        <v>604</v>
      </c>
      <c r="K138" s="28" t="s">
        <v>621</v>
      </c>
      <c r="L138" s="28" t="s">
        <v>621</v>
      </c>
      <c r="M138" s="28" t="s">
        <v>621</v>
      </c>
      <c r="N138" s="26" t="s">
        <v>632</v>
      </c>
      <c r="O138" s="47">
        <v>1277</v>
      </c>
      <c r="P138" s="26"/>
      <c r="Q138" s="26" t="s">
        <v>54</v>
      </c>
      <c r="R138" s="26"/>
      <c r="S138" s="26"/>
      <c r="T138" s="26"/>
      <c r="U138" s="26" t="s">
        <v>114</v>
      </c>
      <c r="V138" s="26" t="s">
        <v>115</v>
      </c>
      <c r="W138" s="28" t="s">
        <v>620</v>
      </c>
      <c r="X138" s="28" t="s">
        <v>1227</v>
      </c>
      <c r="Y138" s="28" t="s">
        <v>1227</v>
      </c>
      <c r="Z138" s="28" t="s">
        <v>1227</v>
      </c>
      <c r="AA138" s="28" t="s">
        <v>1227</v>
      </c>
      <c r="AB138" s="28" t="s">
        <v>1227</v>
      </c>
      <c r="AC138" s="28" t="s">
        <v>1227</v>
      </c>
      <c r="AD138" s="28" t="s">
        <v>1227</v>
      </c>
      <c r="AE138" s="27" t="s">
        <v>811</v>
      </c>
      <c r="AF138" s="27" t="s">
        <v>812</v>
      </c>
      <c r="AG138" s="27" t="s">
        <v>750</v>
      </c>
      <c r="AH138" s="27" t="s">
        <v>646</v>
      </c>
    </row>
    <row r="139" spans="1:34" ht="33.75" x14ac:dyDescent="0.2">
      <c r="A139" s="28" t="s">
        <v>1055</v>
      </c>
      <c r="B139" s="31" t="s">
        <v>626</v>
      </c>
      <c r="C139" s="26" t="s">
        <v>64</v>
      </c>
      <c r="D139" s="26" t="s">
        <v>111</v>
      </c>
      <c r="E139" s="29" t="s">
        <v>253</v>
      </c>
      <c r="F139" s="28" t="s">
        <v>254</v>
      </c>
      <c r="G139" s="26" t="s">
        <v>20</v>
      </c>
      <c r="H139" s="26"/>
      <c r="I139" s="32">
        <f>(Metodologia[[#This Row],[Visites]]*0.15)/MAX(Metodologia[Visites])</f>
        <v>2.7711274907157803E-4</v>
      </c>
      <c r="J139" s="26" t="s">
        <v>604</v>
      </c>
      <c r="K139" s="28" t="s">
        <v>621</v>
      </c>
      <c r="L139" s="28" t="s">
        <v>620</v>
      </c>
      <c r="M139" s="28" t="s">
        <v>621</v>
      </c>
      <c r="N139" s="26" t="s">
        <v>632</v>
      </c>
      <c r="O139" s="47">
        <v>784</v>
      </c>
      <c r="P139" s="26" t="s">
        <v>1180</v>
      </c>
      <c r="Q139" s="26" t="s">
        <v>54</v>
      </c>
      <c r="R139" s="26"/>
      <c r="S139" s="26"/>
      <c r="T139" s="26"/>
      <c r="U139" s="26" t="s">
        <v>255</v>
      </c>
      <c r="V139" s="26" t="s">
        <v>256</v>
      </c>
      <c r="W139" s="28" t="s">
        <v>620</v>
      </c>
      <c r="X139" s="28" t="s">
        <v>1227</v>
      </c>
      <c r="Y139" s="28" t="s">
        <v>1227</v>
      </c>
      <c r="Z139" s="28" t="s">
        <v>621</v>
      </c>
      <c r="AA139" s="28" t="s">
        <v>621</v>
      </c>
      <c r="AB139" s="28" t="s">
        <v>1227</v>
      </c>
      <c r="AC139" s="28" t="s">
        <v>621</v>
      </c>
      <c r="AD139" s="28" t="s">
        <v>620</v>
      </c>
      <c r="AE139" s="27" t="s">
        <v>715</v>
      </c>
      <c r="AF139" s="27" t="s">
        <v>716</v>
      </c>
      <c r="AG139" s="27" t="s">
        <v>717</v>
      </c>
      <c r="AH139" s="27" t="s">
        <v>646</v>
      </c>
    </row>
    <row r="140" spans="1:34" ht="33.75" x14ac:dyDescent="0.2">
      <c r="A140" s="28" t="s">
        <v>1054</v>
      </c>
      <c r="B140" s="31" t="s">
        <v>626</v>
      </c>
      <c r="C140" s="26" t="s">
        <v>64</v>
      </c>
      <c r="D140" s="26" t="s">
        <v>111</v>
      </c>
      <c r="E140" s="29" t="s">
        <v>606</v>
      </c>
      <c r="F140" s="28"/>
      <c r="G140" s="26" t="s">
        <v>1108</v>
      </c>
      <c r="H140" s="26" t="s">
        <v>889</v>
      </c>
      <c r="I140" s="32">
        <f>(Metodologia[[#This Row],[Visites]]*0.15)/MAX(Metodologia[Visites])</f>
        <v>5.7189850509925153E-4</v>
      </c>
      <c r="J140" s="26" t="s">
        <v>604</v>
      </c>
      <c r="K140" s="28" t="s">
        <v>621</v>
      </c>
      <c r="L140" s="28" t="s">
        <v>620</v>
      </c>
      <c r="M140" s="28" t="s">
        <v>621</v>
      </c>
      <c r="N140" s="26" t="s">
        <v>632</v>
      </c>
      <c r="O140" s="47">
        <v>1618</v>
      </c>
      <c r="P140" s="26" t="s">
        <v>1179</v>
      </c>
      <c r="Q140" s="26" t="s">
        <v>54</v>
      </c>
      <c r="R140" s="26"/>
      <c r="S140" s="26"/>
      <c r="T140" s="26"/>
      <c r="U140" s="26" t="s">
        <v>248</v>
      </c>
      <c r="V140" s="26" t="s">
        <v>249</v>
      </c>
      <c r="W140" s="28" t="s">
        <v>620</v>
      </c>
      <c r="X140" s="28" t="s">
        <v>621</v>
      </c>
      <c r="Y140" s="28" t="s">
        <v>621</v>
      </c>
      <c r="Z140" s="28" t="s">
        <v>621</v>
      </c>
      <c r="AA140" s="28" t="s">
        <v>621</v>
      </c>
      <c r="AB140" s="28" t="s">
        <v>621</v>
      </c>
      <c r="AC140" s="28" t="s">
        <v>621</v>
      </c>
      <c r="AD140" s="28" t="s">
        <v>621</v>
      </c>
      <c r="AE140" s="27" t="s">
        <v>715</v>
      </c>
      <c r="AF140" s="27" t="s">
        <v>716</v>
      </c>
      <c r="AG140" s="27" t="s">
        <v>717</v>
      </c>
      <c r="AH140" s="27" t="s">
        <v>646</v>
      </c>
    </row>
    <row r="141" spans="1:34" ht="33.75" x14ac:dyDescent="0.2">
      <c r="A141" s="28" t="s">
        <v>1103</v>
      </c>
      <c r="B141" s="31" t="s">
        <v>626</v>
      </c>
      <c r="C141" s="26" t="s">
        <v>64</v>
      </c>
      <c r="D141" s="26" t="s">
        <v>111</v>
      </c>
      <c r="E141" s="29" t="s">
        <v>1120</v>
      </c>
      <c r="F141" s="28"/>
      <c r="G141" s="26" t="s">
        <v>1108</v>
      </c>
      <c r="H141" s="26"/>
      <c r="I141" s="32">
        <f>(Metodologia[[#This Row],[Visites]]*0.15)/MAX(Metodologia[Visites])</f>
        <v>0</v>
      </c>
      <c r="J141" s="26"/>
      <c r="K141" s="28" t="s">
        <v>621</v>
      </c>
      <c r="L141" s="28" t="s">
        <v>620</v>
      </c>
      <c r="M141" s="28" t="s">
        <v>621</v>
      </c>
      <c r="N141" s="26" t="s">
        <v>632</v>
      </c>
      <c r="O141" s="47">
        <v>0</v>
      </c>
      <c r="P141" s="26" t="s">
        <v>1207</v>
      </c>
      <c r="Q141" s="26" t="s">
        <v>54</v>
      </c>
      <c r="R141" s="26"/>
      <c r="S141" s="26"/>
      <c r="T141" s="26"/>
      <c r="U141" s="26"/>
      <c r="V141" s="26"/>
      <c r="W141" s="28" t="s">
        <v>620</v>
      </c>
      <c r="X141" s="28" t="s">
        <v>620</v>
      </c>
      <c r="Y141" s="28" t="s">
        <v>620</v>
      </c>
      <c r="Z141" s="28" t="s">
        <v>1227</v>
      </c>
      <c r="AA141" s="28" t="s">
        <v>1227</v>
      </c>
      <c r="AB141" s="28" t="s">
        <v>620</v>
      </c>
      <c r="AC141" s="28" t="s">
        <v>1227</v>
      </c>
      <c r="AD141" s="28" t="s">
        <v>620</v>
      </c>
      <c r="AE141" s="27"/>
      <c r="AF141" s="27"/>
      <c r="AG141" s="27"/>
      <c r="AH141" s="27"/>
    </row>
    <row r="142" spans="1:34" s="26" customFormat="1" ht="22.5" x14ac:dyDescent="0.2">
      <c r="A142" s="28" t="s">
        <v>1089</v>
      </c>
      <c r="B142" s="31" t="s">
        <v>623</v>
      </c>
      <c r="C142" s="26" t="s">
        <v>35</v>
      </c>
      <c r="D142" s="26" t="s">
        <v>35</v>
      </c>
      <c r="E142" s="29" t="s">
        <v>226</v>
      </c>
      <c r="F142" s="28" t="s">
        <v>227</v>
      </c>
      <c r="G142" s="26" t="s">
        <v>6</v>
      </c>
      <c r="H142" s="26" t="s">
        <v>889</v>
      </c>
      <c r="I142" s="32">
        <f>(Metodologia[[#This Row],[Visites]]*0.15)/MAX(Metodologia[Visites])</f>
        <v>2.0917771033234678E-3</v>
      </c>
      <c r="K142" s="28" t="s">
        <v>620</v>
      </c>
      <c r="L142" s="28" t="s">
        <v>620</v>
      </c>
      <c r="M142" s="28" t="s">
        <v>620</v>
      </c>
      <c r="N142" s="26" t="s">
        <v>637</v>
      </c>
      <c r="O142" s="47">
        <v>5918</v>
      </c>
      <c r="Q142" s="26" t="s">
        <v>7</v>
      </c>
      <c r="R142" s="26" t="s">
        <v>228</v>
      </c>
      <c r="V142" s="26" t="s">
        <v>229</v>
      </c>
      <c r="W142" s="28" t="s">
        <v>620</v>
      </c>
      <c r="X142" s="28" t="s">
        <v>620</v>
      </c>
      <c r="Y142" s="28" t="s">
        <v>620</v>
      </c>
      <c r="Z142" s="28" t="s">
        <v>620</v>
      </c>
      <c r="AA142" s="28" t="s">
        <v>620</v>
      </c>
      <c r="AB142" s="28" t="s">
        <v>620</v>
      </c>
      <c r="AC142" s="28" t="s">
        <v>620</v>
      </c>
      <c r="AD142" s="28" t="s">
        <v>620</v>
      </c>
      <c r="AE142" s="27" t="s">
        <v>857</v>
      </c>
      <c r="AF142" s="27" t="s">
        <v>858</v>
      </c>
      <c r="AG142" s="27" t="s">
        <v>725</v>
      </c>
      <c r="AH142" s="27" t="s">
        <v>631</v>
      </c>
    </row>
    <row r="143" spans="1:34" s="26" customFormat="1" ht="33.75" x14ac:dyDescent="0.2">
      <c r="A143" s="28" t="s">
        <v>1090</v>
      </c>
      <c r="B143" s="31" t="s">
        <v>626</v>
      </c>
      <c r="C143" s="26" t="s">
        <v>35</v>
      </c>
      <c r="D143" s="26" t="s">
        <v>35</v>
      </c>
      <c r="E143" s="29" t="s">
        <v>557</v>
      </c>
      <c r="F143" s="28" t="s">
        <v>558</v>
      </c>
      <c r="G143" s="26" t="s">
        <v>6</v>
      </c>
      <c r="I143" s="32">
        <f>(Metodologia[[#This Row],[Visites]]*0.15)/MAX(Metodologia[Visites])</f>
        <v>5.5104435689105891E-4</v>
      </c>
      <c r="K143" s="28" t="s">
        <v>621</v>
      </c>
      <c r="L143" s="28" t="s">
        <v>620</v>
      </c>
      <c r="M143" s="28" t="s">
        <v>621</v>
      </c>
      <c r="N143" s="26" t="s">
        <v>632</v>
      </c>
      <c r="O143" s="47">
        <v>1559</v>
      </c>
      <c r="Q143" s="26" t="s">
        <v>54</v>
      </c>
      <c r="U143" s="26" t="s">
        <v>33</v>
      </c>
      <c r="V143" s="26" t="s">
        <v>559</v>
      </c>
      <c r="W143" s="28" t="s">
        <v>620</v>
      </c>
      <c r="X143" s="28" t="s">
        <v>1227</v>
      </c>
      <c r="Y143" s="28" t="s">
        <v>1227</v>
      </c>
      <c r="Z143" s="28" t="s">
        <v>1227</v>
      </c>
      <c r="AA143" s="28" t="s">
        <v>1227</v>
      </c>
      <c r="AB143" s="28" t="s">
        <v>1227</v>
      </c>
      <c r="AC143" s="28" t="s">
        <v>1227</v>
      </c>
      <c r="AD143" s="28" t="s">
        <v>1227</v>
      </c>
      <c r="AE143" s="27" t="s">
        <v>859</v>
      </c>
      <c r="AF143" s="27" t="s">
        <v>860</v>
      </c>
      <c r="AG143" s="27" t="s">
        <v>725</v>
      </c>
      <c r="AH143" s="27" t="s">
        <v>646</v>
      </c>
    </row>
    <row r="144" spans="1:34" s="26" customFormat="1" ht="22.5" x14ac:dyDescent="0.2">
      <c r="A144" s="28" t="s">
        <v>1091</v>
      </c>
      <c r="B144" s="31" t="s">
        <v>625</v>
      </c>
      <c r="C144" s="26" t="s">
        <v>35</v>
      </c>
      <c r="D144" s="26" t="s">
        <v>35</v>
      </c>
      <c r="E144" s="29" t="s">
        <v>440</v>
      </c>
      <c r="F144" s="28" t="s">
        <v>441</v>
      </c>
      <c r="G144" s="26" t="s">
        <v>6</v>
      </c>
      <c r="H144" s="26" t="s">
        <v>889</v>
      </c>
      <c r="I144" s="32">
        <f>(Metodologia[[#This Row],[Visites]]*0.15)/MAX(Metodologia[Visites])</f>
        <v>1.2834137651516579E-3</v>
      </c>
      <c r="K144" s="28" t="s">
        <v>620</v>
      </c>
      <c r="L144" s="28" t="s">
        <v>620</v>
      </c>
      <c r="M144" s="28" t="s">
        <v>621</v>
      </c>
      <c r="N144" s="26" t="s">
        <v>634</v>
      </c>
      <c r="O144" s="47">
        <v>3631</v>
      </c>
      <c r="Q144" s="26" t="s">
        <v>7</v>
      </c>
      <c r="R144" s="26" t="s">
        <v>228</v>
      </c>
      <c r="V144" s="26" t="s">
        <v>442</v>
      </c>
      <c r="W144" s="28" t="s">
        <v>620</v>
      </c>
      <c r="X144" s="28" t="s">
        <v>621</v>
      </c>
      <c r="Y144" s="28" t="s">
        <v>621</v>
      </c>
      <c r="Z144" s="28" t="s">
        <v>621</v>
      </c>
      <c r="AA144" s="28" t="s">
        <v>621</v>
      </c>
      <c r="AB144" s="28" t="s">
        <v>621</v>
      </c>
      <c r="AC144" s="28" t="s">
        <v>621</v>
      </c>
      <c r="AD144" s="28" t="s">
        <v>620</v>
      </c>
      <c r="AE144" s="27" t="s">
        <v>861</v>
      </c>
      <c r="AF144" s="27" t="s">
        <v>862</v>
      </c>
      <c r="AG144" s="27" t="s">
        <v>725</v>
      </c>
      <c r="AH144" s="27" t="s">
        <v>631</v>
      </c>
    </row>
    <row r="145" spans="1:34" s="26" customFormat="1" ht="33.75" x14ac:dyDescent="0.2">
      <c r="A145" s="28" t="s">
        <v>1092</v>
      </c>
      <c r="B145" s="31" t="s">
        <v>625</v>
      </c>
      <c r="C145" s="26" t="s">
        <v>35</v>
      </c>
      <c r="D145" s="26" t="s">
        <v>35</v>
      </c>
      <c r="E145" s="29" t="s">
        <v>141</v>
      </c>
      <c r="F145" s="28" t="s">
        <v>142</v>
      </c>
      <c r="G145" s="26" t="s">
        <v>6</v>
      </c>
      <c r="H145" s="26" t="s">
        <v>889</v>
      </c>
      <c r="I145" s="32">
        <f>(Metodologia[[#This Row],[Visites]]*0.15)/MAX(Metodologia[Visites])</f>
        <v>1.6047090316134748E-4</v>
      </c>
      <c r="K145" s="28" t="s">
        <v>620</v>
      </c>
      <c r="L145" s="28" t="s">
        <v>621</v>
      </c>
      <c r="M145" s="28" t="s">
        <v>621</v>
      </c>
      <c r="N145" s="26" t="s">
        <v>634</v>
      </c>
      <c r="O145" s="47">
        <v>454</v>
      </c>
      <c r="Q145" s="26" t="s">
        <v>7</v>
      </c>
      <c r="R145" s="26" t="s">
        <v>143</v>
      </c>
      <c r="S145" s="26" t="s">
        <v>1150</v>
      </c>
      <c r="V145" s="26" t="s">
        <v>144</v>
      </c>
      <c r="W145" s="28" t="s">
        <v>620</v>
      </c>
      <c r="X145" s="28" t="s">
        <v>620</v>
      </c>
      <c r="Y145" s="28" t="s">
        <v>620</v>
      </c>
      <c r="Z145" s="28" t="s">
        <v>620</v>
      </c>
      <c r="AA145" s="28" t="s">
        <v>620</v>
      </c>
      <c r="AB145" s="28" t="s">
        <v>620</v>
      </c>
      <c r="AC145" s="28" t="s">
        <v>620</v>
      </c>
      <c r="AD145" s="28" t="s">
        <v>620</v>
      </c>
      <c r="AE145" s="27" t="s">
        <v>863</v>
      </c>
      <c r="AF145" s="27" t="s">
        <v>864</v>
      </c>
      <c r="AG145" s="27" t="s">
        <v>750</v>
      </c>
      <c r="AH145" s="27" t="s">
        <v>631</v>
      </c>
    </row>
    <row r="146" spans="1:34" s="26" customFormat="1" ht="33.75" x14ac:dyDescent="0.2">
      <c r="A146" s="28" t="s">
        <v>1093</v>
      </c>
      <c r="B146" s="31" t="s">
        <v>626</v>
      </c>
      <c r="C146" s="26" t="s">
        <v>35</v>
      </c>
      <c r="D146" s="26" t="s">
        <v>35</v>
      </c>
      <c r="E146" s="29" t="s">
        <v>215</v>
      </c>
      <c r="F146" s="28" t="s">
        <v>216</v>
      </c>
      <c r="G146" s="26" t="s">
        <v>96</v>
      </c>
      <c r="I146" s="32">
        <f>(Metodologia[[#This Row],[Visites]]*0.15)/MAX(Metodologia[Visites])</f>
        <v>4.3411974286953082E-3</v>
      </c>
      <c r="K146" s="28" t="s">
        <v>621</v>
      </c>
      <c r="L146" s="28" t="s">
        <v>620</v>
      </c>
      <c r="M146" s="28" t="s">
        <v>621</v>
      </c>
      <c r="N146" s="26" t="s">
        <v>632</v>
      </c>
      <c r="O146" s="47">
        <v>12282</v>
      </c>
      <c r="P146" s="26" t="s">
        <v>1191</v>
      </c>
      <c r="Q146" s="26" t="s">
        <v>54</v>
      </c>
      <c r="U146" s="26" t="s">
        <v>33</v>
      </c>
      <c r="V146" s="26" t="s">
        <v>217</v>
      </c>
      <c r="W146" s="28" t="s">
        <v>620</v>
      </c>
      <c r="X146" s="28" t="s">
        <v>621</v>
      </c>
      <c r="Y146" s="28" t="s">
        <v>621</v>
      </c>
      <c r="Z146" s="28" t="s">
        <v>621</v>
      </c>
      <c r="AA146" s="28" t="s">
        <v>621</v>
      </c>
      <c r="AB146" s="28" t="s">
        <v>621</v>
      </c>
      <c r="AC146" s="28" t="s">
        <v>621</v>
      </c>
      <c r="AD146" s="28" t="s">
        <v>621</v>
      </c>
      <c r="AE146" s="27" t="s">
        <v>715</v>
      </c>
      <c r="AF146" s="27" t="s">
        <v>716</v>
      </c>
      <c r="AG146" s="27" t="s">
        <v>717</v>
      </c>
      <c r="AH146" s="27"/>
    </row>
    <row r="147" spans="1:34" s="26" customFormat="1" ht="33.75" x14ac:dyDescent="0.2">
      <c r="A147" s="28" t="s">
        <v>1095</v>
      </c>
      <c r="B147" s="31" t="s">
        <v>625</v>
      </c>
      <c r="C147" s="26" t="s">
        <v>35</v>
      </c>
      <c r="D147" s="26" t="s">
        <v>35</v>
      </c>
      <c r="E147" s="29" t="s">
        <v>365</v>
      </c>
      <c r="F147" s="28" t="s">
        <v>366</v>
      </c>
      <c r="G147" s="26" t="s">
        <v>6</v>
      </c>
      <c r="H147" s="26" t="s">
        <v>889</v>
      </c>
      <c r="I147" s="32">
        <f>(Metodologia[[#This Row],[Visites]]*0.15)/MAX(Metodologia[Visites])</f>
        <v>6.9794239071012502E-3</v>
      </c>
      <c r="K147" s="28" t="s">
        <v>620</v>
      </c>
      <c r="L147" s="28" t="s">
        <v>621</v>
      </c>
      <c r="M147" s="28" t="s">
        <v>621</v>
      </c>
      <c r="N147" s="26" t="s">
        <v>632</v>
      </c>
      <c r="O147" s="47">
        <v>19746</v>
      </c>
      <c r="Q147" s="26" t="s">
        <v>54</v>
      </c>
      <c r="S147" s="26" t="s">
        <v>1195</v>
      </c>
      <c r="U147" s="26" t="s">
        <v>367</v>
      </c>
      <c r="V147" s="26" t="s">
        <v>368</v>
      </c>
      <c r="W147" s="28" t="s">
        <v>620</v>
      </c>
      <c r="X147" s="28" t="s">
        <v>1227</v>
      </c>
      <c r="Y147" s="28" t="s">
        <v>1227</v>
      </c>
      <c r="Z147" s="28" t="s">
        <v>1227</v>
      </c>
      <c r="AA147" s="28" t="s">
        <v>1227</v>
      </c>
      <c r="AB147" s="28" t="s">
        <v>1227</v>
      </c>
      <c r="AC147" s="28" t="s">
        <v>1227</v>
      </c>
      <c r="AD147" s="28" t="s">
        <v>620</v>
      </c>
      <c r="AE147" s="27" t="s">
        <v>865</v>
      </c>
      <c r="AF147" s="27" t="s">
        <v>866</v>
      </c>
      <c r="AG147" s="27" t="s">
        <v>725</v>
      </c>
      <c r="AH147" s="27" t="s">
        <v>646</v>
      </c>
    </row>
    <row r="148" spans="1:34" s="26" customFormat="1" ht="22.5" x14ac:dyDescent="0.2">
      <c r="A148" s="28" t="s">
        <v>1096</v>
      </c>
      <c r="B148" s="31" t="s">
        <v>626</v>
      </c>
      <c r="C148" s="26" t="s">
        <v>35</v>
      </c>
      <c r="D148" s="26" t="s">
        <v>35</v>
      </c>
      <c r="E148" s="29" t="s">
        <v>36</v>
      </c>
      <c r="F148" s="28" t="s">
        <v>37</v>
      </c>
      <c r="G148" s="26" t="s">
        <v>6</v>
      </c>
      <c r="I148" s="32">
        <f>(Metodologia[[#This Row],[Visites]]*0.15)/MAX(Metodologia[Visites])</f>
        <v>5.715450449601296E-4</v>
      </c>
      <c r="K148" s="28" t="s">
        <v>621</v>
      </c>
      <c r="L148" s="28" t="s">
        <v>620</v>
      </c>
      <c r="M148" s="28" t="s">
        <v>621</v>
      </c>
      <c r="N148" s="26" t="s">
        <v>634</v>
      </c>
      <c r="O148" s="47">
        <v>1617</v>
      </c>
      <c r="Q148" s="26" t="s">
        <v>7</v>
      </c>
      <c r="R148" s="26" t="s">
        <v>38</v>
      </c>
      <c r="V148" s="26" t="s">
        <v>39</v>
      </c>
      <c r="W148" s="28" t="s">
        <v>620</v>
      </c>
      <c r="X148" s="28" t="s">
        <v>621</v>
      </c>
      <c r="Y148" s="28" t="s">
        <v>621</v>
      </c>
      <c r="Z148" s="28" t="s">
        <v>621</v>
      </c>
      <c r="AA148" s="28" t="s">
        <v>621</v>
      </c>
      <c r="AB148" s="28" t="s">
        <v>621</v>
      </c>
      <c r="AC148" s="28" t="s">
        <v>621</v>
      </c>
      <c r="AD148" s="28" t="s">
        <v>621</v>
      </c>
      <c r="AE148" s="27" t="s">
        <v>867</v>
      </c>
      <c r="AF148" s="27" t="s">
        <v>868</v>
      </c>
      <c r="AG148" s="27" t="s">
        <v>725</v>
      </c>
      <c r="AH148" s="27" t="s">
        <v>631</v>
      </c>
    </row>
    <row r="149" spans="1:34" s="26" customFormat="1" x14ac:dyDescent="0.2">
      <c r="A149" s="28"/>
      <c r="B149" s="28"/>
      <c r="F149" s="28"/>
      <c r="I149" s="28"/>
      <c r="K149" s="28"/>
      <c r="L149" s="28"/>
      <c r="M149" s="28"/>
      <c r="W149" s="28"/>
      <c r="X149" s="28"/>
      <c r="Y149" s="28"/>
      <c r="Z149" s="28"/>
      <c r="AA149" s="28"/>
      <c r="AB149" s="28"/>
      <c r="AC149" s="28"/>
      <c r="AD149" s="28"/>
      <c r="AE149" s="27"/>
      <c r="AF149" s="27"/>
      <c r="AG149" s="27"/>
      <c r="AH149" s="27"/>
    </row>
  </sheetData>
  <sheetProtection algorithmName="SHA-512" hashValue="0uTtA9+eV7jbk5rz39dBZ+tiN9qxml/SEfFo/E/xnutw8NdcaWJpRxvTYfxck6/kP5uk8CjkcoTVH24uCy21bA==" saltValue="pUoJ+D/96YKib/z7OlMCCQ==" spinCount="100000" sheet="1" objects="1" scenarios="1"/>
  <conditionalFormatting sqref="A2:E148 K2:N148 V2:AD148">
    <cfRule type="containsBlanks" dxfId="20" priority="649">
      <formula>LEN(TRIM(A2))=0</formula>
    </cfRule>
  </conditionalFormatting>
  <conditionalFormatting sqref="A2:AH148">
    <cfRule type="expression" dxfId="19" priority="16">
      <formula>_xlfn.ISFORMULA(A2)</formula>
    </cfRule>
  </conditionalFormatting>
  <conditionalFormatting sqref="F2:F148">
    <cfRule type="duplicateValues" dxfId="18" priority="17"/>
  </conditionalFormatting>
  <conditionalFormatting sqref="G2:G148">
    <cfRule type="containsText" dxfId="17" priority="7" operator="containsText" text="Manual (amb camp descriptiu) (M*)">
      <formula>NOT(ISERROR(SEARCH("Manual (amb camp descriptiu) (M*)",G2)))</formula>
    </cfRule>
    <cfRule type="containsText" dxfId="16" priority="8" operator="containsText" text="Manual (amb proposta de camps estructurats) (M)">
      <formula>NOT(ISERROR(SEARCH("Manual (amb proposta de camps estructurats) (M)",G2)))</formula>
    </cfRule>
    <cfRule type="containsText" dxfId="15" priority="9" operator="containsText" text="Automàtic amb redirecció (A*)">
      <formula>NOT(ISERROR(SEARCH("Automàtic amb redirecció (A*)",G2)))</formula>
    </cfRule>
    <cfRule type="containsText" dxfId="14" priority="10" operator="containsText" text="Automàtic amb descripció per defecte (A)">
      <formula>NOT(ISERROR(SEARCH("Automàtic amb descripció per defecte (A)",G2)))</formula>
    </cfRule>
    <cfRule type="containsText" dxfId="13" priority="11" operator="containsText" text="Automàtic amb dades obertes (A)">
      <formula>NOT(ISERROR(SEARCH("Automàtic amb dades obertes (A)",G2)))</formula>
    </cfRule>
  </conditionalFormatting>
  <conditionalFormatting sqref="K2:M148 W2:AD148">
    <cfRule type="containsText" dxfId="12" priority="645" operator="containsText" text="Sí">
      <formula>NOT(ISERROR(SEARCH("Sí",K2)))</formula>
    </cfRule>
    <cfRule type="containsText" dxfId="11" priority="646" operator="containsText" text="No, però és recomanable">
      <formula>NOT(ISERROR(SEARCH("No, però és recomanable",K2)))</formula>
    </cfRule>
    <cfRule type="containsText" dxfId="10" priority="647" operator="containsText" text="No">
      <formula>NOT(ISERROR(SEARCH("No",K2)))</formula>
    </cfRule>
  </conditionalFormatting>
  <dataValidations count="1">
    <dataValidation type="list" allowBlank="1" showInputMessage="1" showErrorMessage="1" sqref="O11:P11 O140:P141 O135:P135 O128:P130 O124:P124 O122:P122 O120:P120 O112:P117 O106:P106 O78:P79 O68:P68 O62:P62 O50:P51 O27:P28 O40:P40 O13:P13 O70:P72" xr:uid="{00000000-0002-0000-0500-000000000000}">
      <formula1>#REF!</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
  <sheetViews>
    <sheetView workbookViewId="0"/>
  </sheetViews>
  <sheetFormatPr baseColWidth="10" defaultColWidth="8.875" defaultRowHeight="14.25" x14ac:dyDescent="0.2"/>
  <cols>
    <col min="1" max="1" width="8.875" style="9"/>
    <col min="2" max="2" width="32.375" style="9" customWidth="1"/>
    <col min="3" max="11" width="10.875" style="9" customWidth="1"/>
    <col min="12" max="16384" width="8.875" style="9"/>
  </cols>
  <sheetData>
    <row r="1" spans="1:11" ht="30" x14ac:dyDescent="0.2">
      <c r="A1" s="9" t="s">
        <v>1212</v>
      </c>
      <c r="B1" s="9" t="s">
        <v>1213</v>
      </c>
      <c r="C1" s="6" t="s">
        <v>914</v>
      </c>
      <c r="D1" s="6" t="s">
        <v>656</v>
      </c>
      <c r="E1" s="6" t="s">
        <v>657</v>
      </c>
      <c r="F1" s="6" t="s">
        <v>658</v>
      </c>
      <c r="G1" s="6" t="s">
        <v>659</v>
      </c>
      <c r="H1" s="6" t="s">
        <v>660</v>
      </c>
      <c r="I1" s="6" t="s">
        <v>661</v>
      </c>
      <c r="J1" s="6" t="s">
        <v>662</v>
      </c>
      <c r="K1" s="6" t="s">
        <v>663</v>
      </c>
    </row>
    <row r="2" spans="1:11" x14ac:dyDescent="0.2">
      <c r="A2" s="9" t="s">
        <v>622</v>
      </c>
      <c r="B2" s="9" t="s">
        <v>1214</v>
      </c>
      <c r="C2" s="6">
        <f>COUNTIF(Metodologia[Fase],Fases[[#This Row],[Fases]])</f>
        <v>56</v>
      </c>
      <c r="D2" s="6">
        <f>COUNTIFS(Metodologia[Fase],Fases[[#This Row],[Fases]],Metodologia[Aplica Ens Local],"Sí")</f>
        <v>55</v>
      </c>
      <c r="E2" s="6">
        <f>COUNTIFS(Metodologia[Fase],Fases[[#This Row],[Fases]],Metodologia[Aplica OAL],"Sí")+COUNTIFS(Metodologia[Fase],Fases[[#This Row],[Fases]],Metodologia[Aplica OAL],"No, pero és recomanable")</f>
        <v>40</v>
      </c>
      <c r="F2" s="6">
        <f>COUNTIFS(Metodologia[Fase],Fases[[#This Row],[Fases]],Metodologia[Aplica EPEL],"Sí")+COUNTIFS(Metodologia[Fase],Fases[[#This Row],[Fases]],Metodologia[Aplica EPEL],"No, pero és recomanable")</f>
        <v>39</v>
      </c>
      <c r="G2" s="6">
        <f>COUNTIFS(Metodologia[Fase],Fases[[#This Row],[Fases]],Metodologia[Aplica SOC100%],"Sí")+COUNTIFS(Metodologia[Fase],Fases[[#This Row],[Fases]],Metodologia[Aplica SOC100%],"No, pero és recomanable")</f>
        <v>34</v>
      </c>
      <c r="H2" s="6">
        <f>COUNTIFS(Metodologia[Fase],Fases[[#This Row],[Fases]],Metodologia[Aplica SOCMIX],"Sí")+COUNTIFS(Metodologia[Fase],Fases[[#This Row],[Fases]],Metodologia[Aplica SOCMIX],"No, pero és recomanable")</f>
        <v>34</v>
      </c>
      <c r="I2" s="6">
        <f>COUNTIFS(Metodologia[Fase],Fases[[#This Row],[Fases]],Metodologia[Aplica CONS],"Sí")+COUNTIFS(Metodologia[Fase],Fases[[#This Row],[Fases]],Metodologia[Aplica CONS],"No, pero és recomanable")</f>
        <v>40</v>
      </c>
      <c r="J2" s="6">
        <f>COUNTIFS(Metodologia[Fase],Fases[[#This Row],[Fases]],Metodologia[Aplica FUND],"Sí")+COUNTIFS(Metodologia[Fase],Fases[[#This Row],[Fases]],Metodologia[Aplica FUND],"No, pero és recomanable")</f>
        <v>37</v>
      </c>
      <c r="K2" s="6">
        <f>COUNTIFS(Metodologia[Fase],Fases[[#This Row],[Fases]],Metodologia[Aplica MANC],"Sí")+COUNTIFS(Metodologia[Fase],Fases[[#This Row],[Fases]],Metodologia[Aplica MANC],"No, pero és recomanable")</f>
        <v>47</v>
      </c>
    </row>
    <row r="3" spans="1:11" ht="42.75" x14ac:dyDescent="0.2">
      <c r="A3" s="9" t="s">
        <v>623</v>
      </c>
      <c r="B3" s="9" t="s">
        <v>1215</v>
      </c>
      <c r="C3" s="6">
        <f>COUNTIF(Metodologia[Fase],Fases[[#This Row],[Fases]])</f>
        <v>17</v>
      </c>
      <c r="D3" s="6">
        <f>COUNTIFS(Metodologia[Fase],Fases[[#This Row],[Fases]],Metodologia[Aplica Ens Local],"Sí")</f>
        <v>17</v>
      </c>
      <c r="E3" s="6">
        <f>COUNTIFS(Metodologia[Fase],Fases[[#This Row],[Fases]],Metodologia[Aplica OAL],"Sí")+COUNTIFS(Metodologia[Fase],Fases[[#This Row],[Fases]],Metodologia[Aplica OAL],"No, pero és recomanable")</f>
        <v>15</v>
      </c>
      <c r="F3" s="6">
        <f>COUNTIFS(Metodologia[Fase],Fases[[#This Row],[Fases]],Metodologia[Aplica EPEL],"Sí")+COUNTIFS(Metodologia[Fase],Fases[[#This Row],[Fases]],Metodologia[Aplica EPEL],"No, pero és recomanable")</f>
        <v>14</v>
      </c>
      <c r="G3" s="6">
        <f>COUNTIFS(Metodologia[Fase],Fases[[#This Row],[Fases]],Metodologia[Aplica SOC100%],"Sí")+COUNTIFS(Metodologia[Fase],Fases[[#This Row],[Fases]],Metodologia[Aplica SOC100%],"No, pero és recomanable")</f>
        <v>11</v>
      </c>
      <c r="H3" s="6">
        <f>COUNTIFS(Metodologia[Fase],Fases[[#This Row],[Fases]],Metodologia[Aplica SOCMIX],"Sí")+COUNTIFS(Metodologia[Fase],Fases[[#This Row],[Fases]],Metodologia[Aplica SOCMIX],"No, pero és recomanable")</f>
        <v>11</v>
      </c>
      <c r="I3" s="6">
        <f>COUNTIFS(Metodologia[Fase],Fases[[#This Row],[Fases]],Metodologia[Aplica CONS],"Sí")+COUNTIFS(Metodologia[Fase],Fases[[#This Row],[Fases]],Metodologia[Aplica CONS],"No, pero és recomanable")</f>
        <v>15</v>
      </c>
      <c r="J3" s="6">
        <f>COUNTIFS(Metodologia[Fase],Fases[[#This Row],[Fases]],Metodologia[Aplica FUND],"Sí")+COUNTIFS(Metodologia[Fase],Fases[[#This Row],[Fases]],Metodologia[Aplica FUND],"No, pero és recomanable")</f>
        <v>13</v>
      </c>
      <c r="K3" s="6">
        <f>COUNTIFS(Metodologia[Fase],Fases[[#This Row],[Fases]],Metodologia[Aplica MANC],"Sí")+COUNTIFS(Metodologia[Fase],Fases[[#This Row],[Fases]],Metodologia[Aplica MANC],"No, pero és recomanable")</f>
        <v>16</v>
      </c>
    </row>
    <row r="4" spans="1:11" ht="28.5" x14ac:dyDescent="0.2">
      <c r="A4" s="9" t="s">
        <v>624</v>
      </c>
      <c r="B4" s="9" t="s">
        <v>1216</v>
      </c>
      <c r="C4" s="6">
        <f>COUNTIF(Metodologia[Fase],Fases[[#This Row],[Fases]])</f>
        <v>13</v>
      </c>
      <c r="D4" s="6">
        <f>COUNTIFS(Metodologia[Fase],Fases[[#This Row],[Fases]],Metodologia[Aplica Ens Local],"Sí")</f>
        <v>13</v>
      </c>
      <c r="E4" s="6">
        <f>COUNTIFS(Metodologia[Fase],Fases[[#This Row],[Fases]],Metodologia[Aplica OAL],"Sí")+COUNTIFS(Metodologia[Fase],Fases[[#This Row],[Fases]],Metodologia[Aplica OAL],"No, pero és recomanable")</f>
        <v>10</v>
      </c>
      <c r="F4" s="6">
        <f>COUNTIFS(Metodologia[Fase],Fases[[#This Row],[Fases]],Metodologia[Aplica EPEL],"Sí")+COUNTIFS(Metodologia[Fase],Fases[[#This Row],[Fases]],Metodologia[Aplica EPEL],"No, pero és recomanable")</f>
        <v>9</v>
      </c>
      <c r="G4" s="6">
        <f>COUNTIFS(Metodologia[Fase],Fases[[#This Row],[Fases]],Metodologia[Aplica SOC100%],"Sí")+COUNTIFS(Metodologia[Fase],Fases[[#This Row],[Fases]],Metodologia[Aplica SOC100%],"No, pero és recomanable")</f>
        <v>10</v>
      </c>
      <c r="H4" s="6">
        <f>COUNTIFS(Metodologia[Fase],Fases[[#This Row],[Fases]],Metodologia[Aplica SOCMIX],"Sí")+COUNTIFS(Metodologia[Fase],Fases[[#This Row],[Fases]],Metodologia[Aplica SOCMIX],"No, pero és recomanable")</f>
        <v>10</v>
      </c>
      <c r="I4" s="6">
        <f>COUNTIFS(Metodologia[Fase],Fases[[#This Row],[Fases]],Metodologia[Aplica CONS],"Sí")+COUNTIFS(Metodologia[Fase],Fases[[#This Row],[Fases]],Metodologia[Aplica CONS],"No, pero és recomanable")</f>
        <v>9</v>
      </c>
      <c r="J4" s="6">
        <f>COUNTIFS(Metodologia[Fase],Fases[[#This Row],[Fases]],Metodologia[Aplica FUND],"Sí")+COUNTIFS(Metodologia[Fase],Fases[[#This Row],[Fases]],Metodologia[Aplica FUND],"No, pero és recomanable")</f>
        <v>10</v>
      </c>
      <c r="K4" s="6">
        <f>COUNTIFS(Metodologia[Fase],Fases[[#This Row],[Fases]],Metodologia[Aplica MANC],"Sí")+COUNTIFS(Metodologia[Fase],Fases[[#This Row],[Fases]],Metodologia[Aplica MANC],"No, pero és recomanable")</f>
        <v>12</v>
      </c>
    </row>
    <row r="5" spans="1:11" ht="42.75" x14ac:dyDescent="0.2">
      <c r="A5" s="9" t="s">
        <v>625</v>
      </c>
      <c r="B5" s="9" t="s">
        <v>1217</v>
      </c>
      <c r="C5" s="6">
        <f>COUNTIF(Metodologia[Fase],Fases[[#This Row],[Fases]])</f>
        <v>23</v>
      </c>
      <c r="D5" s="6">
        <f>COUNTIFS(Metodologia[Fase],Fases[[#This Row],[Fases]],Metodologia[Aplica Ens Local],"Sí")</f>
        <v>23</v>
      </c>
      <c r="E5" s="6">
        <f>COUNTIFS(Metodologia[Fase],Fases[[#This Row],[Fases]],Metodologia[Aplica OAL],"Sí")+COUNTIFS(Metodologia[Fase],Fases[[#This Row],[Fases]],Metodologia[Aplica OAL],"No, pero és recomanable")</f>
        <v>16</v>
      </c>
      <c r="F5" s="6">
        <f>COUNTIFS(Metodologia[Fase],Fases[[#This Row],[Fases]],Metodologia[Aplica EPEL],"Sí")+COUNTIFS(Metodologia[Fase],Fases[[#This Row],[Fases]],Metodologia[Aplica EPEL],"No, pero és recomanable")</f>
        <v>16</v>
      </c>
      <c r="G5" s="6">
        <f>COUNTIFS(Metodologia[Fase],Fases[[#This Row],[Fases]],Metodologia[Aplica SOC100%],"Sí")+COUNTIFS(Metodologia[Fase],Fases[[#This Row],[Fases]],Metodologia[Aplica SOC100%],"No, pero és recomanable")</f>
        <v>13</v>
      </c>
      <c r="H5" s="6">
        <f>COUNTIFS(Metodologia[Fase],Fases[[#This Row],[Fases]],Metodologia[Aplica SOCMIX],"Sí")+COUNTIFS(Metodologia[Fase],Fases[[#This Row],[Fases]],Metodologia[Aplica SOCMIX],"No, pero és recomanable")</f>
        <v>13</v>
      </c>
      <c r="I5" s="6">
        <f>COUNTIFS(Metodologia[Fase],Fases[[#This Row],[Fases]],Metodologia[Aplica CONS],"Sí")+COUNTIFS(Metodologia[Fase],Fases[[#This Row],[Fases]],Metodologia[Aplica CONS],"No, pero és recomanable")</f>
        <v>16</v>
      </c>
      <c r="J5" s="6">
        <f>COUNTIFS(Metodologia[Fase],Fases[[#This Row],[Fases]],Metodologia[Aplica FUND],"Sí")+COUNTIFS(Metodologia[Fase],Fases[[#This Row],[Fases]],Metodologia[Aplica FUND],"No, pero és recomanable")</f>
        <v>13</v>
      </c>
      <c r="K5" s="6">
        <f>COUNTIFS(Metodologia[Fase],Fases[[#This Row],[Fases]],Metodologia[Aplica MANC],"Sí")+COUNTIFS(Metodologia[Fase],Fases[[#This Row],[Fases]],Metodologia[Aplica MANC],"No, pero és recomanable")</f>
        <v>22</v>
      </c>
    </row>
    <row r="6" spans="1:11" x14ac:dyDescent="0.2">
      <c r="A6" s="9" t="s">
        <v>626</v>
      </c>
      <c r="B6" s="9" t="s">
        <v>1232</v>
      </c>
      <c r="C6" s="6">
        <f>COUNTIF(Metodologia[Fase],Fases[[#This Row],[Fases]])</f>
        <v>38</v>
      </c>
      <c r="D6" s="6">
        <f>COUNTIFS(Metodologia[Fase],Fases[[#This Row],[Fases]],Metodologia[Aplica Ens Local],"Sí")</f>
        <v>38</v>
      </c>
      <c r="E6" s="6">
        <f>COUNTIFS(Metodologia[Fase],Fases[[#This Row],[Fases]],Metodologia[Aplica OAL],"Sí")+COUNTIFS(Metodologia[Fase],Fases[[#This Row],[Fases]],Metodologia[Aplica OAL],"No, pero és recomanable")</f>
        <v>4</v>
      </c>
      <c r="F6" s="6">
        <f>COUNTIFS(Metodologia[Fase],Fases[[#This Row],[Fases]],Metodologia[Aplica EPEL],"Sí")+COUNTIFS(Metodologia[Fase],Fases[[#This Row],[Fases]],Metodologia[Aplica EPEL],"No, pero és recomanable")</f>
        <v>4</v>
      </c>
      <c r="G6" s="6">
        <f>COUNTIFS(Metodologia[Fase],Fases[[#This Row],[Fases]],Metodologia[Aplica SOC100%],"Sí")+COUNTIFS(Metodologia[Fase],Fases[[#This Row],[Fases]],Metodologia[Aplica SOC100%],"No, pero és recomanable")</f>
        <v>3</v>
      </c>
      <c r="H6" s="6">
        <f>COUNTIFS(Metodologia[Fase],Fases[[#This Row],[Fases]],Metodologia[Aplica SOCMIX],"Sí")+COUNTIFS(Metodologia[Fase],Fases[[#This Row],[Fases]],Metodologia[Aplica SOCMIX],"No, pero és recomanable")</f>
        <v>3</v>
      </c>
      <c r="I6" s="6">
        <f>COUNTIFS(Metodologia[Fase],Fases[[#This Row],[Fases]],Metodologia[Aplica CONS],"Sí")+COUNTIFS(Metodologia[Fase],Fases[[#This Row],[Fases]],Metodologia[Aplica CONS],"No, pero és recomanable")</f>
        <v>3</v>
      </c>
      <c r="J6" s="6">
        <f>COUNTIFS(Metodologia[Fase],Fases[[#This Row],[Fases]],Metodologia[Aplica FUND],"Sí")+COUNTIFS(Metodologia[Fase],Fases[[#This Row],[Fases]],Metodologia[Aplica FUND],"No, pero és recomanable")</f>
        <v>4</v>
      </c>
      <c r="K6" s="6">
        <f>COUNTIFS(Metodologia[Fase],Fases[[#This Row],[Fases]],Metodologia[Aplica MANC],"Sí")+COUNTIFS(Metodologia[Fase],Fases[[#This Row],[Fases]],Metodologia[Aplica MANC],"No, pero és recomanable")</f>
        <v>10</v>
      </c>
    </row>
    <row r="7" spans="1:11" x14ac:dyDescent="0.2">
      <c r="A7" s="9" t="s">
        <v>914</v>
      </c>
      <c r="C7" s="6">
        <f>SUBTOTAL(109,Fases[Total])</f>
        <v>147</v>
      </c>
      <c r="D7" s="6">
        <f>SUBTOTAL(109,Fases[Aplica Ens Local])</f>
        <v>146</v>
      </c>
      <c r="E7" s="6">
        <f>SUBTOTAL(109,Fases[Aplica OAL])</f>
        <v>85</v>
      </c>
      <c r="F7" s="6">
        <f>SUBTOTAL(109,Fases[Aplica EPEL])</f>
        <v>82</v>
      </c>
      <c r="G7" s="6">
        <f>SUBTOTAL(109,Fases[Aplica SOC100%])</f>
        <v>71</v>
      </c>
      <c r="H7" s="6">
        <f>SUBTOTAL(109,Fases[Aplica SOCMIX])</f>
        <v>71</v>
      </c>
      <c r="I7" s="6">
        <f>SUBTOTAL(109,Fases[Aplica CONS])</f>
        <v>83</v>
      </c>
      <c r="J7" s="6">
        <f>SUBTOTAL(109,Fases[Aplica FUND])</f>
        <v>77</v>
      </c>
      <c r="K7" s="6">
        <f>SUBTOTAL(109,Fases[Aplica MANC])</f>
        <v>107</v>
      </c>
    </row>
  </sheetData>
  <sheetProtection algorithmName="SHA-512" hashValue="cMR6TpOjxxnewrS+sJXPNAK4Zy8879NTKneJfQv2WXR9jn9eSZ4gxzYB2JFW81gmGHIi0FFhS5gXAVgKIwQq2Q==" saltValue="mXZSNKSimRELLrhLAAp6Pg=="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4"/>
  <sheetViews>
    <sheetView workbookViewId="0"/>
  </sheetViews>
  <sheetFormatPr baseColWidth="10" defaultColWidth="9" defaultRowHeight="14.25" x14ac:dyDescent="0.2"/>
  <cols>
    <col min="1" max="1" width="44.25" customWidth="1"/>
    <col min="2" max="2" width="16.5" customWidth="1"/>
    <col min="3" max="3" width="10.625" style="6" bestFit="1" customWidth="1"/>
    <col min="4" max="4" width="5.75" style="6" customWidth="1"/>
    <col min="5" max="5" width="11.875" customWidth="1"/>
    <col min="7" max="7" width="17.375" customWidth="1"/>
    <col min="8" max="8" width="5.75" customWidth="1"/>
    <col min="9" max="9" width="11.375" customWidth="1"/>
    <col min="10" max="10" width="5.75" customWidth="1"/>
    <col min="11" max="11" width="15.375" customWidth="1"/>
  </cols>
  <sheetData>
    <row r="1" spans="1:11" ht="30" x14ac:dyDescent="0.2">
      <c r="A1" t="s">
        <v>870</v>
      </c>
      <c r="B1" t="s">
        <v>917</v>
      </c>
      <c r="C1" s="6" t="s">
        <v>918</v>
      </c>
      <c r="D1"/>
      <c r="E1" t="s">
        <v>884</v>
      </c>
      <c r="F1" s="6" t="s">
        <v>916</v>
      </c>
      <c r="G1" s="6" t="s">
        <v>927</v>
      </c>
      <c r="I1" t="s">
        <v>650</v>
      </c>
      <c r="K1" t="s">
        <v>915</v>
      </c>
    </row>
    <row r="2" spans="1:11" x14ac:dyDescent="0.2">
      <c r="A2" t="s">
        <v>871</v>
      </c>
      <c r="B2" t="s">
        <v>656</v>
      </c>
      <c r="C2" s="6">
        <f>MATCH(Taula1_TipusEns[[#This Row],[Aplica]],Metodologia[#Headers],0)</f>
        <v>23</v>
      </c>
      <c r="D2"/>
      <c r="E2" t="s">
        <v>622</v>
      </c>
      <c r="F2" s="6">
        <v>1</v>
      </c>
      <c r="G2" s="14">
        <v>1</v>
      </c>
      <c r="I2" t="s">
        <v>620</v>
      </c>
      <c r="K2" t="s">
        <v>620</v>
      </c>
    </row>
    <row r="3" spans="1:11" x14ac:dyDescent="0.2">
      <c r="A3" t="s">
        <v>872</v>
      </c>
      <c r="B3" t="s">
        <v>656</v>
      </c>
      <c r="C3" s="6">
        <f>MATCH(Taula1_TipusEns[[#This Row],[Aplica]],Metodologia[#Headers],0)</f>
        <v>23</v>
      </c>
      <c r="D3"/>
      <c r="E3" t="s">
        <v>623</v>
      </c>
      <c r="F3" s="6">
        <v>2</v>
      </c>
      <c r="G3" s="14" t="s">
        <v>928</v>
      </c>
      <c r="I3" t="s">
        <v>621</v>
      </c>
      <c r="K3" t="s">
        <v>621</v>
      </c>
    </row>
    <row r="4" spans="1:11" x14ac:dyDescent="0.2">
      <c r="A4" t="s">
        <v>873</v>
      </c>
      <c r="B4" t="s">
        <v>656</v>
      </c>
      <c r="C4" s="6">
        <f>MATCH(Taula1_TipusEns[[#This Row],[Aplica]],Metodologia[#Headers],0)</f>
        <v>23</v>
      </c>
      <c r="D4"/>
      <c r="E4" t="s">
        <v>624</v>
      </c>
      <c r="F4" s="6">
        <v>3</v>
      </c>
      <c r="G4" s="14" t="s">
        <v>929</v>
      </c>
      <c r="K4" t="s">
        <v>886</v>
      </c>
    </row>
    <row r="5" spans="1:11" x14ac:dyDescent="0.2">
      <c r="A5" t="s">
        <v>874</v>
      </c>
      <c r="B5" t="s">
        <v>656</v>
      </c>
      <c r="C5" s="6">
        <f>MATCH(Taula1_TipusEns[[#This Row],[Aplica]],Metodologia[#Headers],0)</f>
        <v>23</v>
      </c>
      <c r="D5"/>
      <c r="E5" t="s">
        <v>625</v>
      </c>
      <c r="F5" s="6">
        <v>4</v>
      </c>
      <c r="G5" s="14" t="s">
        <v>930</v>
      </c>
    </row>
    <row r="6" spans="1:11" x14ac:dyDescent="0.2">
      <c r="A6" t="s">
        <v>875</v>
      </c>
      <c r="B6" t="s">
        <v>656</v>
      </c>
      <c r="C6" s="6">
        <f>MATCH(Taula1_TipusEns[[#This Row],[Aplica]],Metodologia[#Headers],0)</f>
        <v>23</v>
      </c>
      <c r="D6"/>
      <c r="E6" t="s">
        <v>626</v>
      </c>
      <c r="F6" s="6">
        <v>5</v>
      </c>
      <c r="G6" s="14" t="s">
        <v>931</v>
      </c>
    </row>
    <row r="7" spans="1:11" x14ac:dyDescent="0.2">
      <c r="A7" t="s">
        <v>876</v>
      </c>
      <c r="B7" t="s">
        <v>663</v>
      </c>
      <c r="C7" s="6">
        <f>MATCH(Taula1_TipusEns[[#This Row],[Aplica]],Metodologia[#Headers],0)</f>
        <v>30</v>
      </c>
      <c r="D7"/>
      <c r="F7" s="6"/>
      <c r="G7" s="6"/>
    </row>
    <row r="8" spans="1:11" x14ac:dyDescent="0.2">
      <c r="A8" t="s">
        <v>877</v>
      </c>
      <c r="B8" t="s">
        <v>656</v>
      </c>
      <c r="C8" s="6">
        <f>MATCH(Taula1_TipusEns[[#This Row],[Aplica]],Metodologia[#Headers],0)</f>
        <v>23</v>
      </c>
      <c r="D8"/>
      <c r="F8" s="6"/>
      <c r="G8" s="6"/>
    </row>
    <row r="9" spans="1:11" x14ac:dyDescent="0.2">
      <c r="A9" t="s">
        <v>878</v>
      </c>
      <c r="B9" t="s">
        <v>657</v>
      </c>
      <c r="C9" s="6">
        <f>MATCH(Taula1_TipusEns[[#This Row],[Aplica]],Metodologia[#Headers],0)</f>
        <v>24</v>
      </c>
      <c r="D9"/>
      <c r="F9" s="6"/>
      <c r="G9" s="6"/>
    </row>
    <row r="10" spans="1:11" x14ac:dyDescent="0.2">
      <c r="A10" t="s">
        <v>879</v>
      </c>
      <c r="B10" t="s">
        <v>658</v>
      </c>
      <c r="C10" s="6">
        <f>MATCH(Taula1_TipusEns[[#This Row],[Aplica]],Metodologia[#Headers],0)</f>
        <v>25</v>
      </c>
      <c r="D10"/>
      <c r="F10" s="6"/>
      <c r="G10" s="6"/>
    </row>
    <row r="11" spans="1:11" x14ac:dyDescent="0.2">
      <c r="A11" t="s">
        <v>880</v>
      </c>
      <c r="B11" t="s">
        <v>659</v>
      </c>
      <c r="C11" s="6">
        <f>MATCH(Taula1_TipusEns[[#This Row],[Aplica]],Metodologia[#Headers],0)</f>
        <v>26</v>
      </c>
      <c r="D11"/>
      <c r="F11" s="6"/>
      <c r="G11" s="6"/>
    </row>
    <row r="12" spans="1:11" x14ac:dyDescent="0.2">
      <c r="A12" t="s">
        <v>881</v>
      </c>
      <c r="B12" t="s">
        <v>660</v>
      </c>
      <c r="C12" s="6">
        <f>MATCH(Taula1_TipusEns[[#This Row],[Aplica]],Metodologia[#Headers],0)</f>
        <v>27</v>
      </c>
      <c r="D12"/>
      <c r="F12" s="6"/>
      <c r="G12" s="6"/>
    </row>
    <row r="13" spans="1:11" x14ac:dyDescent="0.2">
      <c r="A13" t="s">
        <v>882</v>
      </c>
      <c r="B13" t="s">
        <v>661</v>
      </c>
      <c r="C13" s="6">
        <f>MATCH(Taula1_TipusEns[[#This Row],[Aplica]],Metodologia[#Headers],0)</f>
        <v>28</v>
      </c>
      <c r="D13"/>
      <c r="F13" s="6"/>
      <c r="G13" s="6"/>
    </row>
    <row r="14" spans="1:11" x14ac:dyDescent="0.2">
      <c r="A14" t="s">
        <v>883</v>
      </c>
      <c r="B14" t="s">
        <v>662</v>
      </c>
      <c r="C14" s="6">
        <f>MATCH(Taula1_TipusEns[[#This Row],[Aplica]],Metodologia[#Headers],0)</f>
        <v>29</v>
      </c>
      <c r="D14"/>
      <c r="F14" s="6"/>
      <c r="G14" s="6"/>
    </row>
  </sheetData>
  <sheetProtection algorithmName="SHA-512" hashValue="CrCFZx6VGhbe1k+8aZkSa2cnjY6IfdK1I1h8rpXAyfTDuwGZMkbxRFpsYUyMMBGwZBiZFtTunVYdQxcpoNnaVA==" saltValue="cngvpkXgROf1n1VEIHZeig==" spinCount="100000" sheet="1" objects="1" scenarios="1"/>
  <sortState xmlns:xlrd2="http://schemas.microsoft.com/office/spreadsheetml/2017/richdata2" ref="E2:E6">
    <sortCondition ref="E6"/>
  </sortState>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I F A A B Q S w M E F A A C A A g A c l x c W m k 1 6 g u o A A A A + g A A A B I A H A B D b 2 5 m a W c v U G F j a 2 F n Z S 5 4 b W w g o h g A K K A U A A A A A A A A A A A A A A A A A A A A A A A A A A A A h Y 9 L D o I w G I S v Q r q n L 4 O v / J S F c S e J C Y l x 2 5 Q K j V A M L c L d X H g k r y C J o u 5 c z s y 3 + O Z x u 0 M y 1 F V w 1 a 0 z j Y 0 R w x Q F 2 q o m N 7 a I U e d P 4 R I l A v Z S n W W h g x G 2 b j 2 4 P E a l 9 5 c 1 I X 3 f 4 3 6 G m 7 Y g n F J G j u k u U 6 W u J f r A 5 j 8 c G u u 8 t E o j A Y e X j O B 4 z n D E V h x H n P M F k G m A 1 N g v x E d n T I H 8 l L D p K t + 1 W i g Z b j M g U w T y / i G e U E s D B B Q A A g A I A H J c X 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X F x a J X T Q I I g C A A C 3 D Q A A E w A c A E Z v c m 1 1 b G F z L 1 N l Y 3 R p b 2 4 x L m 0 g o h g A K K A U A A A A A A A A A A A A A A A A A A A A A A A A A A A A 7 V T B c t M w E L 1 n J v + w 4 1 6 c G T c k T t p S m B y E 4 x R 1 H D u 1 F Y a h 4 a D Y o p i x r Y y l Z C i d n u H C i S u / w A 9 w z Y + x a Q r t 4 B S O c L A v s v T e W 2 l X 2 q d E r F N Z Q L Q d u 0 + b j W Z D v e W l S C D h m s M A M q G b D c A v K N M L U e C K o 1 b t o Y y X u S i 0 O U o z 0 X Z k o X G i T M N 5 M p s q U a p Z n k m p V i J L 9 O w n V 8 2 G P B F q d k p D M r P 7 H d s + g n 0 4 Y f t H B z g G + S J L S 8 j 4 d u N E w C p V q R Y K z I t M z n m m W r A Q J X C I e c J h / U 2 L H C c L X m q U I f 2 k P 9 s o 2 7 F a G S 3 r f C i y N E d 9 O T A s w w J H Z s u 8 U I P u s Q V u E c s k L S 4 G h w e d T t e C s 6 X U I t K X m R j c / b Z 9 W Y j X L W u b / J 6 B I j 4 X H 3 g i F S x K m c t V i r 8 G 1 o P x O d I n m z U t n g v M s V T m t l o W n N + u k y y L Y p 7 x U g 1 0 u b w f m K U L i T n l 8 x R j 3 8 V j J S / U G 1 n m 2 5 O z y 4 V Q 5 o P H s K 6 u D H / 9 P W 9 D E A 5 D F x P W K A A t 3 u t r C x A L x i M y p h 4 l u 6 B o + u w P K G X u G C q A E w w p j C h 7 S W A 8 9 a l D W I X C 6 G Q a w f o z 6 i v Y C x p h 3 A h O v O A Z 8 S I w 8 W V s b v H d s r g E u 2 P 3 W i i h h T 7 s t z e p 3 2 4 5 d n 1 G Q n p P N h q 1 K r E n I Q 1 C y l 4 R h 6 6 / w M Q N g Z x O U b h R R x X 2 K H T P 1 l / X n 3 y H E i A O m x L v l x a h q R v S Y b U u n u d S Y C H x o w k J 3 R t t 9 9 j u d P u w q x I P s X v g R p M K e y j i U m h 4 / A j r 0 K 2 g w R w b b M V j 7 F e F D Y A N U + A r 4 T p d 8 Q q X M o L F 7 B 5 V A X 8 U 4 F E Y d e h k Q 9 m x T 4 V i / 5 3 S q 1 B c 3 / P I + u P m B n 6 r 4 n W r 2 U i L 3 V 1 w 3 4 f 2 j B t D M O 2 W U d t R b U e 1 H d V 2 9 D / Y U a + 2 o 9 q O a j u q 7 e g f 2 N E P U E s B A i 0 A F A A C A A g A c l x c W m k 1 6 g u o A A A A + g A A A B I A A A A A A A A A A A A A A A A A A A A A A E N v b m Z p Z y 9 Q Y W N r Y W d l L n h t b F B L A Q I t A B Q A A g A I A H J c X F o P y u m r p A A A A O k A A A A T A A A A A A A A A A A A A A A A A P Q A A A B b Q 2 9 u d G V u d F 9 U e X B l c 1 0 u e G 1 s U E s B A i 0 A F A A C A A g A c l x c W i V 0 0 C C I A g A A t w 0 A A B M A A A A A A A A A A A A A A A A A 5 Q E A A E Z v c m 1 1 b G F z L 1 N l Y 3 R p b 2 4 x L m 1 Q S w U G A A A A A A M A A w D C A A A A u 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j 0 A A A A A A A B s P 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Z G F 0 Y 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Y w O T M 2 Y z F m L T c z M G Y t N G V m M i 1 i M D I w L T U x Y z F m N W E 5 M 2 Y 0 N y I g L z 4 8 R W 5 0 c n k g V H l w Z T 0 i T m F 2 a W d h d G l v b l N 0 Z X B O Y W 1 l I i B W Y W x 1 Z T 0 i c 0 5 h d m V n Y W N p w 7 N 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Q 2 9 s d W 1 u T m F t Z X M i I F Z h b H V l P S J z W y Z x d W 9 0 O 0 7 D u m 0 u I E 9 S R F J F J n F 1 b 3 Q 7 L C Z x d W 9 0 O 0 5 P T U Z B T U l M S U E m c X V v d D s s J n F 1 b 3 Q 7 T k 9 N U 1 V C R k F N S U x J Q S Z x d W 9 0 O y w m c X V v d D t O T 0 1 J V E V N I C Z x d W 9 0 O y w m c X V v d D t D T 0 R J I E Z J V F h B I E 1 V T k l D Q V Q m c X V v d D s s J n F 1 b 3 Q 7 V E l Q V V M g w 4 1 U R U 0 m c X V v d D s s J n F 1 b 3 Q 7 V k l T S V R F U y B H T E 9 C Q U x T I C h k Z X M g Z G U g a n V u e S A y M D I z K S Z x d W 9 0 O y w m c X V v d D t D T 0 1 F T l R B U k l T I E d M T 0 J B T F M g K E Z G K S Z x d W 9 0 O y w m c X V v d D t Q U k l P U k l U W k F D S c O T I F B F U i B B S l V O V E F N R U 5 U U y Z x d W 9 0 O y w m c X V v d D t G U k V R w 5 z D i E 5 D S U E g Q U N U V U F M S V R a Q U N J w 5 M g U k V R V U V S S U R B J n F 1 b 3 Q 7 L C Z x d W 9 0 O 0 x M R U k g V F J B T l N Q Q V J F T k N J Q S A x O T I w M T Q g Q 0 F U J n F 1 b 3 Q 7 L C Z x d W 9 0 O 0 x M R U k g V F J B T l N Q Q V J F T k N J Q S A x O T I w M T M g R V N Q J n F 1 b 3 Q 7 L C Z x d W 9 0 O 0 R l Y 3 J l d C A 4 L z I w M j E m c X V v d D s s J n F 1 b 3 Q 7 T 2 J z Z X J 2 Y W N p b 2 5 z I G E g b G E g b m 9 y b W F 0 a X Z h J n F 1 b 3 Q 7 L C Z x d W 9 0 O 0 l U Q S A y M D E 3 J n F 1 b 3 Q 7 L C Z x d W 9 0 O 0 l O R k 9 Q Q V J U S U N J U E E g M j A y M S Z x d W 9 0 O y w m c X V v d D t J T k Z P U E F S V E l D S V B B I D I w M j I m c X V v d D s s J n F 1 b 3 Q 7 S U 5 G T 1 B B U l R J Q 0 l Q Q S A y M D I z J n F 1 b 3 Q 7 L C Z x d W 9 0 O 0 V O T E x B w 4 c g Q U p V R E E m c X V v d D t d I i A v P j x F b n R y e S B U e X B l P S J G a W x s Q 2 9 s d W 1 u V H l w Z X M i I F Z h b H V l P S J z Q m d Z R 0 J n W U d B d 1 l H Q m d Z R 0 J n W U d C Z 1 l H Q m c 9 P S I g L z 4 8 R W 5 0 c n k g V H l w Z T 0 i R m l s b E x h c 3 R V c G R h d G V k I i B W Y W x 1 Z T 0 i Z D I w M j Q t M D M t M D V U M D k 6 N T Q 6 M j I u N T U w N z A z O F o i I C 8 + P E V u d H J 5 I F R 5 c G U 9 I k Z p b G x F c n J v c k N v d W 5 0 I i B W Y W x 1 Z T 0 i b D A i I C 8 + P E V u d H J 5 I F R 5 c G U 9 I k Z p b G x F c n J v c k N v Z G U i I F Z h b H V l P S J z V W 5 r b m 9 3 b i I g L z 4 8 R W 5 0 c n k g V H l w Z T 0 i R m l s b E N v d W 5 0 I i B W Y W x 1 Z T 0 i b D E 0 M S I g L z 4 8 R W 5 0 c n k g V H l w Z T 0 i R m l s b F N 0 Y X R 1 c y I g V m F s d W U 9 I n N D b 2 1 w b G V 0 Z S I g L z 4 8 R W 5 0 c n k g V H l w Z T 0 i Q W R k Z W R U b 0 R h d G F N b 2 R l b C I g V m F s d W U 9 I m w w I i A v P j x F b n R y e S B U e X B l P S J S Z W x h d G l v b n N o a X B J b m Z v Q 2 9 u d G F p b m V y I i B W Y W x 1 Z T 0 i c 3 s m c X V v d D t j b 2 x 1 b W 5 D b 3 V u d C Z x d W 9 0 O z o x O S w m c X V v d D t r Z X l D b 2 x 1 b W 5 O Y W 1 l c y Z x d W 9 0 O z p b X S w m c X V v d D t x d W V y e V J l b G F 0 a W 9 u c 2 h p c H M m c X V v d D s 6 W 1 0 s J n F 1 b 3 Q 7 Y 2 9 s d W 1 u S W R l b n R p d G l l c y Z x d W 9 0 O z p b J n F 1 b 3 Q 7 U 2 V j d G l v b j E v Z G F 0 Y S 9 B d X R v U m V t b 3 Z l Z E N v b H V t b n M x L n t O w 7 p t L i B P U k R S R S w w f S Z x d W 9 0 O y w m c X V v d D t T Z W N 0 a W 9 u M S 9 k Y X R h L 0 F 1 d G 9 S Z W 1 v d m V k Q 2 9 s d W 1 u c z E u e 0 5 P T U Z B T U l M S U E s M X 0 m c X V v d D s s J n F 1 b 3 Q 7 U 2 V j d G l v b j E v Z G F 0 Y S 9 B d X R v U m V t b 3 Z l Z E N v b H V t b n M x L n t O T 0 1 T V U J G Q U 1 J T E l B L D J 9 J n F 1 b 3 Q 7 L C Z x d W 9 0 O 1 N l Y 3 R p b 2 4 x L 2 R h d G E v Q X V 0 b 1 J l b W 9 2 Z W R D b 2 x 1 b W 5 z M S 5 7 T k 9 N S V R F T S A s M 3 0 m c X V v d D s s J n F 1 b 3 Q 7 U 2 V j d G l v b j E v Z G F 0 Y S 9 B d X R v U m V t b 3 Z l Z E N v b H V t b n M x L n t D T 0 R J I E Z J V F h B I E 1 V T k l D Q V Q s N H 0 m c X V v d D s s J n F 1 b 3 Q 7 U 2 V j d G l v b j E v Z G F 0 Y S 9 B d X R v U m V t b 3 Z l Z E N v b H V t b n M x L n t U S V B V U y D D j V R F T S w 1 f S Z x d W 9 0 O y w m c X V v d D t T Z W N 0 a W 9 u M S 9 k Y X R h L 0 F 1 d G 9 S Z W 1 v d m V k Q 2 9 s d W 1 u c z E u e 1 Z J U 0 l U R V M g R 0 x P Q k F M U y A o Z G V z I G R l I G p 1 b n k g M j A y M y k s N n 0 m c X V v d D s s J n F 1 b 3 Q 7 U 2 V j d G l v b j E v Z G F 0 Y S 9 B d X R v U m V t b 3 Z l Z E N v b H V t b n M x L n t D T 0 1 F T l R B U k l T I E d M T 0 J B T F M g K E Z G K S w 3 f S Z x d W 9 0 O y w m c X V v d D t T Z W N 0 a W 9 u M S 9 k Y X R h L 0 F 1 d G 9 S Z W 1 v d m V k Q 2 9 s d W 1 u c z E u e 1 B S S U 9 S S V R a Q U N J w 5 M g U E V S I E F K V U 5 U Q U 1 F T l R T L D h 9 J n F 1 b 3 Q 7 L C Z x d W 9 0 O 1 N l Y 3 R p b 2 4 x L 2 R h d G E v Q X V 0 b 1 J l b W 9 2 Z W R D b 2 x 1 b W 5 z M S 5 7 R l J F U c O c w 4 h O Q 0 l B I E F D V F V B T E l U W k F D S c O T I F J F U V V F U k l E Q S w 5 f S Z x d W 9 0 O y w m c X V v d D t T Z W N 0 a W 9 u M S 9 k Y X R h L 0 F 1 d G 9 S Z W 1 v d m V k Q 2 9 s d W 1 u c z E u e 0 x M R U k g V F J B T l N Q Q V J F T k N J Q S A x O T I w M T Q g Q 0 F U L D E w f S Z x d W 9 0 O y w m c X V v d D t T Z W N 0 a W 9 u M S 9 k Y X R h L 0 F 1 d G 9 S Z W 1 v d m V k Q 2 9 s d W 1 u c z E u e 0 x M R U k g V F J B T l N Q Q V J F T k N J Q S A x O T I w M T M g R V N Q L D E x f S Z x d W 9 0 O y w m c X V v d D t T Z W N 0 a W 9 u M S 9 k Y X R h L 0 F 1 d G 9 S Z W 1 v d m V k Q 2 9 s d W 1 u c z E u e 0 R l Y 3 J l d C A 4 L z I w M j E s M T J 9 J n F 1 b 3 Q 7 L C Z x d W 9 0 O 1 N l Y 3 R p b 2 4 x L 2 R h d G E v Q X V 0 b 1 J l b W 9 2 Z W R D b 2 x 1 b W 5 z M S 5 7 T 2 J z Z X J 2 Y W N p b 2 5 z I G E g b G E g b m 9 y b W F 0 a X Z h L D E z f S Z x d W 9 0 O y w m c X V v d D t T Z W N 0 a W 9 u M S 9 k Y X R h L 0 F 1 d G 9 S Z W 1 v d m V k Q 2 9 s d W 1 u c z E u e 0 l U Q S A y M D E 3 L D E 0 f S Z x d W 9 0 O y w m c X V v d D t T Z W N 0 a W 9 u M S 9 k Y X R h L 0 F 1 d G 9 S Z W 1 v d m V k Q 2 9 s d W 1 u c z E u e 0 l O R k 9 Q Q V J U S U N J U E E g M j A y M S w x N X 0 m c X V v d D s s J n F 1 b 3 Q 7 U 2 V j d G l v b j E v Z G F 0 Y S 9 B d X R v U m V t b 3 Z l Z E N v b H V t b n M x L n t J T k Z P U E F S V E l D S V B B I D I w M j I s M T Z 9 J n F 1 b 3 Q 7 L C Z x d W 9 0 O 1 N l Y 3 R p b 2 4 x L 2 R h d G E v Q X V 0 b 1 J l b W 9 2 Z W R D b 2 x 1 b W 5 z M S 5 7 S U 5 G T 1 B B U l R J Q 0 l Q Q S A y M D I z L D E 3 f S Z x d W 9 0 O y w m c X V v d D t T Z W N 0 a W 9 u M S 9 k Y X R h L 0 F 1 d G 9 S Z W 1 v d m V k Q 2 9 s d W 1 u c z E u e 0 V O T E x B w 4 c g Q U p V R E E s M T h 9 J n F 1 b 3 Q 7 X S w m c X V v d D t D b 2 x 1 b W 5 D b 3 V u d C Z x d W 9 0 O z o x O S w m c X V v d D t L Z X l D b 2 x 1 b W 5 O Y W 1 l c y Z x d W 9 0 O z p b X S w m c X V v d D t D b 2 x 1 b W 5 J Z G V u d G l 0 a W V z J n F 1 b 3 Q 7 O l s m c X V v d D t T Z W N 0 a W 9 u M S 9 k Y X R h L 0 F 1 d G 9 S Z W 1 v d m V k Q 2 9 s d W 1 u c z E u e 0 7 D u m 0 u I E 9 S R F J F L D B 9 J n F 1 b 3 Q 7 L C Z x d W 9 0 O 1 N l Y 3 R p b 2 4 x L 2 R h d G E v Q X V 0 b 1 J l b W 9 2 Z W R D b 2 x 1 b W 5 z M S 5 7 T k 9 N R k F N S U x J Q S w x f S Z x d W 9 0 O y w m c X V v d D t T Z W N 0 a W 9 u M S 9 k Y X R h L 0 F 1 d G 9 S Z W 1 v d m V k Q 2 9 s d W 1 u c z E u e 0 5 P T V N V Q k Z B T U l M S U E s M n 0 m c X V v d D s s J n F 1 b 3 Q 7 U 2 V j d G l v b j E v Z G F 0 Y S 9 B d X R v U m V t b 3 Z l Z E N v b H V t b n M x L n t O T 0 1 J V E V N I C w z f S Z x d W 9 0 O y w m c X V v d D t T Z W N 0 a W 9 u M S 9 k Y X R h L 0 F 1 d G 9 S Z W 1 v d m V k Q 2 9 s d W 1 u c z E u e 0 N P R E k g R k l U W E E g T V V O S U N B V C w 0 f S Z x d W 9 0 O y w m c X V v d D t T Z W N 0 a W 9 u M S 9 k Y X R h L 0 F 1 d G 9 S Z W 1 v d m V k Q 2 9 s d W 1 u c z E u e 1 R J U F V T I M O N V E V N L D V 9 J n F 1 b 3 Q 7 L C Z x d W 9 0 O 1 N l Y 3 R p b 2 4 x L 2 R h d G E v Q X V 0 b 1 J l b W 9 2 Z W R D b 2 x 1 b W 5 z M S 5 7 V k l T S V R F U y B H T E 9 C Q U x T I C h k Z X M g Z G U g a n V u e S A y M D I z K S w 2 f S Z x d W 9 0 O y w m c X V v d D t T Z W N 0 a W 9 u M S 9 k Y X R h L 0 F 1 d G 9 S Z W 1 v d m V k Q 2 9 s d W 1 u c z E u e 0 N P T U V O V E F S S V M g R 0 x P Q k F M U y A o R k Y p L D d 9 J n F 1 b 3 Q 7 L C Z x d W 9 0 O 1 N l Y 3 R p b 2 4 x L 2 R h d G E v Q X V 0 b 1 J l b W 9 2 Z W R D b 2 x 1 b W 5 z M S 5 7 U F J J T 1 J J V F p B Q 0 n D k y B Q R V I g Q U p V T l R B T U V O V F M s O H 0 m c X V v d D s s J n F 1 b 3 Q 7 U 2 V j d G l v b j E v Z G F 0 Y S 9 B d X R v U m V t b 3 Z l Z E N v b H V t b n M x L n t G U k V R w 5 z D i E 5 D S U E g Q U N U V U F M S V R a Q U N J w 5 M g U k V R V U V S S U R B L D l 9 J n F 1 b 3 Q 7 L C Z x d W 9 0 O 1 N l Y 3 R p b 2 4 x L 2 R h d G E v Q X V 0 b 1 J l b W 9 2 Z W R D b 2 x 1 b W 5 z M S 5 7 T E x F S S B U U k F O U 1 B B U k V O Q 0 l B I D E 5 M j A x N C B D Q V Q s M T B 9 J n F 1 b 3 Q 7 L C Z x d W 9 0 O 1 N l Y 3 R p b 2 4 x L 2 R h d G E v Q X V 0 b 1 J l b W 9 2 Z W R D b 2 x 1 b W 5 z M S 5 7 T E x F S S B U U k F O U 1 B B U k V O Q 0 l B I D E 5 M j A x M y B F U 1 A s M T F 9 J n F 1 b 3 Q 7 L C Z x d W 9 0 O 1 N l Y 3 R p b 2 4 x L 2 R h d G E v Q X V 0 b 1 J l b W 9 2 Z W R D b 2 x 1 b W 5 z M S 5 7 R G V j c m V 0 I D g v M j A y M S w x M n 0 m c X V v d D s s J n F 1 b 3 Q 7 U 2 V j d G l v b j E v Z G F 0 Y S 9 B d X R v U m V t b 3 Z l Z E N v b H V t b n M x L n t P Y n N l c n Z h Y 2 l v b n M g Y S B s Y S B u b 3 J t Y X R p d m E s M T N 9 J n F 1 b 3 Q 7 L C Z x d W 9 0 O 1 N l Y 3 R p b 2 4 x L 2 R h d G E v Q X V 0 b 1 J l b W 9 2 Z W R D b 2 x 1 b W 5 z M S 5 7 S V R B I D I w M T c s M T R 9 J n F 1 b 3 Q 7 L C Z x d W 9 0 O 1 N l Y 3 R p b 2 4 x L 2 R h d G E v Q X V 0 b 1 J l b W 9 2 Z W R D b 2 x 1 b W 5 z M S 5 7 S U 5 G T 1 B B U l R J Q 0 l Q Q S A y M D I x L D E 1 f S Z x d W 9 0 O y w m c X V v d D t T Z W N 0 a W 9 u M S 9 k Y X R h L 0 F 1 d G 9 S Z W 1 v d m V k Q 2 9 s d W 1 u c z E u e 0 l O R k 9 Q Q V J U S U N J U E E g M j A y M i w x N n 0 m c X V v d D s s J n F 1 b 3 Q 7 U 2 V j d G l v b j E v Z G F 0 Y S 9 B d X R v U m V t b 3 Z l Z E N v b H V t b n M x L n t J T k Z P U E F S V E l D S V B B I D I w M j M s M T d 9 J n F 1 b 3 Q 7 L C Z x d W 9 0 O 1 N l Y 3 R p b 2 4 x L 2 R h d G E v Q X V 0 b 1 J l b W 9 2 Z W R D b 2 x 1 b W 5 z M S 5 7 R U 5 M T E H D h y B B S l V E Q S w x O H 0 m c X V v d D t d L C Z x d W 9 0 O 1 J l b G F 0 a W 9 u c 2 h p c E l u Z m 8 m c X V v d D s 6 W 1 1 9 I i A v P j w v U 3 R h Y m x l R W 5 0 c m l l c z 4 8 L 0 l 0 Z W 0 + P E l 0 Z W 0 + P E l 0 Z W 1 M b 2 N h d G l v b j 4 8 S X R l b V R 5 c G U + R m 9 y b X V s Y T w v S X R l b V R 5 c G U + P E l 0 Z W 1 Q Y X R o P l N l Y 3 R p b 2 4 x L 2 R h d G E v T 3 J p Z 2 V u P C 9 J d G V t U G F 0 a D 4 8 L 0 l 0 Z W 1 M b 2 N h d G l v b j 4 8 U 3 R h Y m x l R W 5 0 c m l l c y A v P j w v S X R l b T 4 8 S X R l b T 4 8 S X R l b U x v Y 2 F 0 a W 9 u P j x J d G V t V H l w Z T 5 G b 3 J t d W x h P C 9 J d G V t V H l w Z T 4 8 S X R l b V B h d G g + U 2 V j d G l v b j E v Z G F 0 Y S 9 F b m N h Y m V 6 Y W R v c y U y M H B y b 2 1 v d m l k b 3 M 8 L 0 l 0 Z W 1 Q Y X R o P j w v S X R l b U x v Y 2 F 0 a W 9 u P j x T d G F i b G V F b n R y a W V z I C 8 + P C 9 J d G V t P j x J d G V t P j x J d G V t T G 9 j Y X R p b 2 4 + P E l 0 Z W 1 U e X B l P k Z v c m 1 1 b G E 8 L 0 l 0 Z W 1 U e X B l P j x J d G V t U G F 0 a D 5 T Z W N 0 a W 9 u M S 9 k Y X R h L 1 R p c G 8 l M j B j Y W 1 i a W F k b z w v S X R l b V B h d G g + P C 9 J d G V t T G 9 j Y X R p b 2 4 + P F N 0 Y W J s Z U V u d H J p Z X M g L z 4 8 L 0 l 0 Z W 0 + P E l 0 Z W 0 + P E l 0 Z W 1 M b 2 N h d G l v b j 4 8 S X R l b V R 5 c G U + R m 9 y b X V s Y T w v S X R l b V R 5 c G U + P E l 0 Z W 1 Q Y X R o P l N l Y 3 R p b 2 4 x L 2 R h d G E 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h Y T E 0 Y z l h O S 1 i Y j N i L T Q 0 Y W I t O D E y Z S 0 4 M z E y Y W Y 5 Z m Z l N T Q i I C 8 + P E V u d H J 5 I F R 5 c G U 9 I k 5 h b W V V c G R h d G V k Q W Z 0 Z X J G a W x s I i B W Y W x 1 Z T 0 i b D A i I C 8 + P E V u d H J 5 I F R 5 c G U 9 I l J l c 3 V s d F R 5 c G U i I F Z h b H V l P S J z R X h j Z X B 0 a W 9 u I i A v P j x F b n R y e S B U e X B l P S J G a W x s V G F y Z 2 V 0 I i B W Y W x 1 Z T 0 i c 0 1 l d G 9 k b 2 x v Z 2 l h I i A v P j x F b n R y e S B U e X B l P S J G a W x s Z W R D b 2 1 w b G V 0 Z V J l c 3 V s d F R v V 2 9 y a 3 N o Z W V 0 I i B W Y W x 1 Z T 0 i b D E i I C 8 + P E V u d H J 5 I F R 5 c G U 9 I k Z p b G x D b 3 V u d C I g V m F s d W U 9 I m w w I i A v P j x F b n R y e S B U e X B l P S J G a W x s R X J y b 3 J D b 2 R l I i B W Y W x 1 Z T 0 i c 1 V u a 2 5 v d 2 4 i I C 8 + P E V u d H J 5 I F R 5 c G U 9 I k Z p b G x F c n J v c k N v d W 5 0 I i B W Y W x 1 Z T 0 i b D A i I C 8 + P E V u d H J 5 I F R 5 c G U 9 I k Z p b G x M Y X N 0 V X B k Y X R l Z C I g V m F s d W U 9 I m Q y M D I 0 L T E x L T I y V D A 3 O j A 2 O j E 5 L j k 4 N z I 1 N j B a I i A v P j x F b n R y e S B U e X B l P S J G a W x s Q 2 9 s d W 1 u T m F t Z X M i I F Z h b H V l P S J z W y Z x d W 9 0 O 0 7 D u m 0 u I E 9 S R F J F J n F 1 b 3 Q 7 L C Z x d W 9 0 O 0 5 P T U Z B T U l M S U E m c X V v d D s s J n F 1 b 3 Q 7 T k 9 N U 1 V C R k F N S U x J Q S Z x d W 9 0 O y w m c X V v d D t O T 0 1 J V E V N I C Z x d W 9 0 O y w m c X V v d D t D T 0 R J I E Z J V F h B I E 1 V T k l D Q V Q m c X V v d D s s J n F 1 b 3 Q 7 V E l Q V V M g w 4 1 U R U 0 m c X V v d D s s J n F 1 b 3 Q 7 V k l T S V R F U y B H T E 9 C Q U x T I C h k Z X M g Z G U g a n V u e S A y M D I z K S Z x d W 9 0 O y w m c X V v d D t D T 0 1 F T l R B U k l T I E d M T 0 J B T F M g K E Z G K S Z x d W 9 0 O y w m c X V v d D t Q U k l P U k l U W k F D S c O T I F B F U i B B S l V O V E F N R U 5 U U y Z x d W 9 0 O y w m c X V v d D t G U k V R w 5 z D i E 5 D S U E g Q U N U V U F M S V R a Q U N J w 5 M g U k V R V U V S S U R B J n F 1 b 3 Q 7 L C Z x d W 9 0 O 0 x M R U k g V F J B T l N Q Q V J F T k N J Q S A x O T I w M T Q g Q 0 F U J n F 1 b 3 Q 7 L C Z x d W 9 0 O 0 x M R U k g V F J B T l N Q Q V J F T k N J Q S A x O T I w M T M g R V N Q J n F 1 b 3 Q 7 L C Z x d W 9 0 O 0 R l Y 3 J l d C A 4 L z I w M j E m c X V v d D s s J n F 1 b 3 Q 7 T 2 J z Z X J 2 Y W N p b 2 5 z I G E g b G E g b m 9 y b W F 0 a X Z h J n F 1 b 3 Q 7 L C Z x d W 9 0 O 0 l U Q S A y M D E 3 J n F 1 b 3 Q 7 L C Z x d W 9 0 O 0 l O R k 9 Q Q V J U S U N J U E E g M j A y M S Z x d W 9 0 O y w m c X V v d D t J T k Z P U E F S V E l D S V B B I D I w M j I m c X V v d D s s J n F 1 b 3 Q 7 S U 5 G T 1 B B U l R J Q 0 l Q Q S A y M D I z J n F 1 b 3 Q 7 L C Z x d W 9 0 O 0 V O T E x B w 4 c g Q U p V R E E m c X V v d D t d I i A v P j x F b n R y e S B U e X B l P S J G a W x s Q 2 9 s d W 1 u V H l w Z X M i I F Z h b H V l P S J z Q m d Z R 0 J n W U d B d 1 l H Q m d Z R 0 J n W U d C Z 1 l H Q m c 9 P S I g L z 4 8 R W 5 0 c n k g V H l w Z T 0 i Q W R k Z W R U b 0 R h d G F N b 2 R l b C I g V m F s d W U 9 I m w w I i A v P j x F b n R y e S B U e X B l P S J M b 2 F k Z W R U b 0 F u Y W x 5 c 2 l z U 2 V y d m l j Z X M i I F Z h b H V l P S J s M C I g L z 4 8 R W 5 0 c n k g V H l w Z T 0 i R m l s b F N 0 Y X R 1 c y I g V m F s d W U 9 I n N X Y W l 0 a W 5 n R m 9 y R X h j Z W x S Z W Z y Z X N o I i A v P j x F b n R y e S B U e X B l P S J C d W Z m Z X J O Z X h 0 U m V m c m V z a C I g V m F s d W U 9 I m w x I i A v P j x F b n R y e S B U e X B l P S J O Y X Z p Z 2 F 0 a W 9 u U 3 R l c E 5 h b W U i I F Z h b H V l P S J z T m F 2 Z W d h Y 2 n D s 2 4 i I C 8 + P E V u d H J 5 I F R 5 c G U 9 I l J l b G F 0 a W 9 u c 2 h p c E l u Z m 9 D b 2 5 0 Y W l u Z X I i I F Z h b H V l P S J z e y Z x d W 9 0 O 2 N v b H V t b k N v d W 5 0 J n F 1 b 3 Q 7 O j E 5 L C Z x d W 9 0 O 2 t l e U N v b H V t b k 5 h b W V z J n F 1 b 3 Q 7 O l t d L C Z x d W 9 0 O 3 F 1 Z X J 5 U m V s Y X R p b 2 5 z a G l w c y Z x d W 9 0 O z p b X S w m c X V v d D t j b 2 x 1 b W 5 J Z G V u d G l 0 a W V z J n F 1 b 3 Q 7 O l s m c X V v d D t T Z W N 0 a W 9 u M S 9 k Y X R h L 0 F 1 d G 9 S Z W 1 v d m V k Q 2 9 s d W 1 u c z E u e 0 7 D u m 0 u I E 9 S R F J F L D B 9 J n F 1 b 3 Q 7 L C Z x d W 9 0 O 1 N l Y 3 R p b 2 4 x L 2 R h d G E v Q X V 0 b 1 J l b W 9 2 Z W R D b 2 x 1 b W 5 z M S 5 7 T k 9 N R k F N S U x J Q S w x f S Z x d W 9 0 O y w m c X V v d D t T Z W N 0 a W 9 u M S 9 k Y X R h L 0 F 1 d G 9 S Z W 1 v d m V k Q 2 9 s d W 1 u c z E u e 0 5 P T V N V Q k Z B T U l M S U E s M n 0 m c X V v d D s s J n F 1 b 3 Q 7 U 2 V j d G l v b j E v Z G F 0 Y S 9 B d X R v U m V t b 3 Z l Z E N v b H V t b n M x L n t O T 0 1 J V E V N I C w z f S Z x d W 9 0 O y w m c X V v d D t T Z W N 0 a W 9 u M S 9 k Y X R h L 0 F 1 d G 9 S Z W 1 v d m V k Q 2 9 s d W 1 u c z E u e 0 N P R E k g R k l U W E E g T V V O S U N B V C w 0 f S Z x d W 9 0 O y w m c X V v d D t T Z W N 0 a W 9 u M S 9 k Y X R h L 0 F 1 d G 9 S Z W 1 v d m V k Q 2 9 s d W 1 u c z E u e 1 R J U F V T I M O N V E V N L D V 9 J n F 1 b 3 Q 7 L C Z x d W 9 0 O 1 N l Y 3 R p b 2 4 x L 2 R h d G E v Q X V 0 b 1 J l b W 9 2 Z W R D b 2 x 1 b W 5 z M S 5 7 V k l T S V R F U y B H T E 9 C Q U x T I C h k Z X M g Z G U g a n V u e S A y M D I z K S w 2 f S Z x d W 9 0 O y w m c X V v d D t T Z W N 0 a W 9 u M S 9 k Y X R h L 0 F 1 d G 9 S Z W 1 v d m V k Q 2 9 s d W 1 u c z E u e 0 N P T U V O V E F S S V M g R 0 x P Q k F M U y A o R k Y p L D d 9 J n F 1 b 3 Q 7 L C Z x d W 9 0 O 1 N l Y 3 R p b 2 4 x L 2 R h d G E v Q X V 0 b 1 J l b W 9 2 Z W R D b 2 x 1 b W 5 z M S 5 7 U F J J T 1 J J V F p B Q 0 n D k y B Q R V I g Q U p V T l R B T U V O V F M s O H 0 m c X V v d D s s J n F 1 b 3 Q 7 U 2 V j d G l v b j E v Z G F 0 Y S 9 B d X R v U m V t b 3 Z l Z E N v b H V t b n M x L n t G U k V R w 5 z D i E 5 D S U E g Q U N U V U F M S V R a Q U N J w 5 M g U k V R V U V S S U R B L D l 9 J n F 1 b 3 Q 7 L C Z x d W 9 0 O 1 N l Y 3 R p b 2 4 x L 2 R h d G E v Q X V 0 b 1 J l b W 9 2 Z W R D b 2 x 1 b W 5 z M S 5 7 T E x F S S B U U k F O U 1 B B U k V O Q 0 l B I D E 5 M j A x N C B D Q V Q s M T B 9 J n F 1 b 3 Q 7 L C Z x d W 9 0 O 1 N l Y 3 R p b 2 4 x L 2 R h d G E v Q X V 0 b 1 J l b W 9 2 Z W R D b 2 x 1 b W 5 z M S 5 7 T E x F S S B U U k F O U 1 B B U k V O Q 0 l B I D E 5 M j A x M y B F U 1 A s M T F 9 J n F 1 b 3 Q 7 L C Z x d W 9 0 O 1 N l Y 3 R p b 2 4 x L 2 R h d G E v Q X V 0 b 1 J l b W 9 2 Z W R D b 2 x 1 b W 5 z M S 5 7 R G V j c m V 0 I D g v M j A y M S w x M n 0 m c X V v d D s s J n F 1 b 3 Q 7 U 2 V j d G l v b j E v Z G F 0 Y S 9 B d X R v U m V t b 3 Z l Z E N v b H V t b n M x L n t P Y n N l c n Z h Y 2 l v b n M g Y S B s Y S B u b 3 J t Y X R p d m E s M T N 9 J n F 1 b 3 Q 7 L C Z x d W 9 0 O 1 N l Y 3 R p b 2 4 x L 2 R h d G E v Q X V 0 b 1 J l b W 9 2 Z W R D b 2 x 1 b W 5 z M S 5 7 S V R B I D I w M T c s M T R 9 J n F 1 b 3 Q 7 L C Z x d W 9 0 O 1 N l Y 3 R p b 2 4 x L 2 R h d G E v Q X V 0 b 1 J l b W 9 2 Z W R D b 2 x 1 b W 5 z M S 5 7 S U 5 G T 1 B B U l R J Q 0 l Q Q S A y M D I x L D E 1 f S Z x d W 9 0 O y w m c X V v d D t T Z W N 0 a W 9 u M S 9 k Y X R h L 0 F 1 d G 9 S Z W 1 v d m V k Q 2 9 s d W 1 u c z E u e 0 l O R k 9 Q Q V J U S U N J U E E g M j A y M i w x N n 0 m c X V v d D s s J n F 1 b 3 Q 7 U 2 V j d G l v b j E v Z G F 0 Y S 9 B d X R v U m V t b 3 Z l Z E N v b H V t b n M x L n t J T k Z P U E F S V E l D S V B B I D I w M j M s M T d 9 J n F 1 b 3 Q 7 L C Z x d W 9 0 O 1 N l Y 3 R p b 2 4 x L 2 R h d G E v Q X V 0 b 1 J l b W 9 2 Z W R D b 2 x 1 b W 5 z M S 5 7 R U 5 M T E H D h y B B S l V E Q S w x O H 0 m c X V v d D t d L C Z x d W 9 0 O 0 N v b H V t b k N v d W 5 0 J n F 1 b 3 Q 7 O j E 5 L C Z x d W 9 0 O 0 t l e U N v b H V t b k 5 h b W V z J n F 1 b 3 Q 7 O l t d L C Z x d W 9 0 O 0 N v b H V t b k l k Z W 5 0 a X R p Z X M m c X V v d D s 6 W y Z x d W 9 0 O 1 N l Y 3 R p b 2 4 x L 2 R h d G E v Q X V 0 b 1 J l b W 9 2 Z W R D b 2 x 1 b W 5 z M S 5 7 T s O 6 b S 4 g T 1 J E U k U s M H 0 m c X V v d D s s J n F 1 b 3 Q 7 U 2 V j d G l v b j E v Z G F 0 Y S 9 B d X R v U m V t b 3 Z l Z E N v b H V t b n M x L n t O T 0 1 G Q U 1 J T E l B L D F 9 J n F 1 b 3 Q 7 L C Z x d W 9 0 O 1 N l Y 3 R p b 2 4 x L 2 R h d G E v Q X V 0 b 1 J l b W 9 2 Z W R D b 2 x 1 b W 5 z M S 5 7 T k 9 N U 1 V C R k F N S U x J Q S w y f S Z x d W 9 0 O y w m c X V v d D t T Z W N 0 a W 9 u M S 9 k Y X R h L 0 F 1 d G 9 S Z W 1 v d m V k Q 2 9 s d W 1 u c z E u e 0 5 P T U l U R U 0 g L D N 9 J n F 1 b 3 Q 7 L C Z x d W 9 0 O 1 N l Y 3 R p b 2 4 x L 2 R h d G E v Q X V 0 b 1 J l b W 9 2 Z W R D b 2 x 1 b W 5 z M S 5 7 Q 0 9 E S S B G S V R Y Q S B N V U 5 J Q 0 F U L D R 9 J n F 1 b 3 Q 7 L C Z x d W 9 0 O 1 N l Y 3 R p b 2 4 x L 2 R h d G E v Q X V 0 b 1 J l b W 9 2 Z W R D b 2 x 1 b W 5 z M S 5 7 V E l Q V V M g w 4 1 U R U 0 s N X 0 m c X V v d D s s J n F 1 b 3 Q 7 U 2 V j d G l v b j E v Z G F 0 Y S 9 B d X R v U m V t b 3 Z l Z E N v b H V t b n M x L n t W S V N J V E V T I E d M T 0 J B T F M g K G R l c y B k Z S B q d W 5 5 I D I w M j M p L D Z 9 J n F 1 b 3 Q 7 L C Z x d W 9 0 O 1 N l Y 3 R p b 2 4 x L 2 R h d G E v Q X V 0 b 1 J l b W 9 2 Z W R D b 2 x 1 b W 5 z M S 5 7 Q 0 9 N R U 5 U Q V J J U y B H T E 9 C Q U x T I C h G R i k s N 3 0 m c X V v d D s s J n F 1 b 3 Q 7 U 2 V j d G l v b j E v Z G F 0 Y S 9 B d X R v U m V t b 3 Z l Z E N v b H V t b n M x L n t Q U k l P U k l U W k F D S c O T I F B F U i B B S l V O V E F N R U 5 U U y w 4 f S Z x d W 9 0 O y w m c X V v d D t T Z W N 0 a W 9 u M S 9 k Y X R h L 0 F 1 d G 9 S Z W 1 v d m V k Q 2 9 s d W 1 u c z E u e 0 Z S R V H D n M O I T k N J Q S B B Q 1 R V Q U x J V F p B Q 0 n D k y B S R V F V R V J J R E E s O X 0 m c X V v d D s s J n F 1 b 3 Q 7 U 2 V j d G l v b j E v Z G F 0 Y S 9 B d X R v U m V t b 3 Z l Z E N v b H V t b n M x L n t M T E V J I F R S Q U 5 T U E F S R U 5 D S U E g M T k y M D E 0 I E N B V C w x M H 0 m c X V v d D s s J n F 1 b 3 Q 7 U 2 V j d G l v b j E v Z G F 0 Y S 9 B d X R v U m V t b 3 Z l Z E N v b H V t b n M x L n t M T E V J I F R S Q U 5 T U E F S R U 5 D S U E g M T k y M D E z I E V T U C w x M X 0 m c X V v d D s s J n F 1 b 3 Q 7 U 2 V j d G l v b j E v Z G F 0 Y S 9 B d X R v U m V t b 3 Z l Z E N v b H V t b n M x L n t E Z W N y Z X Q g O C 8 y M D I x L D E y f S Z x d W 9 0 O y w m c X V v d D t T Z W N 0 a W 9 u M S 9 k Y X R h L 0 F 1 d G 9 S Z W 1 v d m V k Q 2 9 s d W 1 u c z E u e 0 9 i c 2 V y d m F j a W 9 u c y B h I G x h I G 5 v c m 1 h d G l 2 Y S w x M 3 0 m c X V v d D s s J n F 1 b 3 Q 7 U 2 V j d G l v b j E v Z G F 0 Y S 9 B d X R v U m V t b 3 Z l Z E N v b H V t b n M x L n t J V E E g M j A x N y w x N H 0 m c X V v d D s s J n F 1 b 3 Q 7 U 2 V j d G l v b j E v Z G F 0 Y S 9 B d X R v U m V t b 3 Z l Z E N v b H V t b n M x L n t J T k Z P U E F S V E l D S V B B I D I w M j E s M T V 9 J n F 1 b 3 Q 7 L C Z x d W 9 0 O 1 N l Y 3 R p b 2 4 x L 2 R h d G E v Q X V 0 b 1 J l b W 9 2 Z W R D b 2 x 1 b W 5 z M S 5 7 S U 5 G T 1 B B U l R J Q 0 l Q Q S A y M D I y L D E 2 f S Z x d W 9 0 O y w m c X V v d D t T Z W N 0 a W 9 u M S 9 k Y X R h L 0 F 1 d G 9 S Z W 1 v d m V k Q 2 9 s d W 1 u c z E u e 0 l O R k 9 Q Q V J U S U N J U E E g M j A y M y w x N 3 0 m c X V v d D s s J n F 1 b 3 Q 7 U 2 V j d G l v b j E v Z G F 0 Y S 9 B d X R v U m V t b 3 Z l Z E N v b H V t b n M x L n t F T k x M Q c O H I E F K V U R B L D E 4 f S Z x d W 9 0 O 1 0 s J n F 1 b 3 Q 7 U m V s Y X R p b 2 5 z a G l w S W 5 m b y Z x d W 9 0 O z p b X X 0 i I C 8 + P E V u d H J 5 I F R 5 c G U 9 I k Z p b G x U Y X J n Z X R O Y W 1 l Q 3 V z d G 9 t a X p l Z C I g V m F s d W U 9 I m w x I i A v P j w v U 3 R h Y m x l R W 5 0 c m l l c z 4 8 L 0 l 0 Z W 0 + P E l 0 Z W 0 + P E l 0 Z W 1 M b 2 N h d G l v b j 4 8 S X R l b V R 5 c G U + R m 9 y b X V s Y T w v S X R l b V R 5 c G U + P E l 0 Z W 1 Q Y X R o P l N l Y 3 R p b 2 4 x L 2 R h d G E l M j A o M i k v T 3 J p Z 2 V u P C 9 J d G V t U G F 0 a D 4 8 L 0 l 0 Z W 1 M b 2 N h d G l v b j 4 8 U 3 R h Y m x l R W 5 0 c m l l c y A v P j w v S X R l b T 4 8 S X R l b T 4 8 S X R l b U x v Y 2 F 0 a W 9 u P j x J d G V t V H l w Z T 5 G b 3 J t d W x h P C 9 J d G V t V H l w Z T 4 8 S X R l b V B h d G g + U 2 V j d G l v b j E v Z G F 0 Y S U y M C g y K S 9 F b m N h Y m V 6 Y W R v c y U y M H B y b 2 1 v d m l k b 3 M 8 L 0 l 0 Z W 1 Q Y X R o P j w v S X R l b U x v Y 2 F 0 a W 9 u P j x T d G F i b G V F b n R y a W V z I C 8 + P C 9 J d G V t P j x J d G V t P j x J d G V t T G 9 j Y X R p b 2 4 + P E l 0 Z W 1 U e X B l P k Z v c m 1 1 b G E 8 L 0 l 0 Z W 1 U e X B l P j x J d G V t U G F 0 a D 5 T Z W N 0 a W 9 u M S 9 k Y X R h J T I w K D I p L 1 R p c G 8 l M j B j Y W 1 i a W F k b z w v S X R l b V B h d G g + P C 9 J d G V t T G 9 j Y X R p b 2 4 + P F N 0 Y W J s Z U V u d H J p Z X M g L z 4 8 L 0 l 0 Z W 0 + P E l 0 Z W 0 + P E l 0 Z W 1 M b 2 N h d G l v b j 4 8 S X R l b V R 5 c G U + R m 9 y b X V s Y T w v S X R l b V R 5 c G U + P E l 0 Z W 1 Q Y X R o P l N l Y 3 R p b 2 4 x L 2 R h d G E 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S I g L z 4 8 R W 5 0 c n k g V H l w Z T 0 i R m l s b E V y c m 9 y Q 2 9 1 b n Q i I F Z h b H V l P S J s M C I g L z 4 8 R W 5 0 c n k g V H l w Z T 0 i R m l s b E x h c 3 R V c G R h d G V k I i B W Y W x 1 Z T 0 i Z D I w M j Q t M T E t M j J U M D c 6 M D Y 6 M T k u O T g 3 M j U 2 M F o i I C 8 + P E V u d H J 5 I F R 5 c G U 9 I k Z p b G x D b 2 x 1 b W 5 U e X B l c y I g V m F s d W U 9 I n N C Z 1 l H Q m d Z R 0 F 3 W U d C Z 1 l H Q m d Z R 0 J n W U d C Z z 0 9 I i A v P j x F b n R y e S B U e X B l P S J G a W x s U 3 R h d H V z I i B W Y W x 1 Z T 0 i c 1 d h a X R p b m d G b 3 J F e G N l b F J l Z n J l c 2 g i I C 8 + P E V u d H J 5 I F R 5 c G U 9 I k Z p b G x D b 2 x 1 b W 5 O Y W 1 l c y I g V m F s d W U 9 I n N b J n F 1 b 3 Q 7 T s O 6 b S 4 g T 1 J E U k U m c X V v d D s s J n F 1 b 3 Q 7 T k 9 N R k F N S U x J Q S Z x d W 9 0 O y w m c X V v d D t O T 0 1 T V U J G Q U 1 J T E l B J n F 1 b 3 Q 7 L C Z x d W 9 0 O 0 5 P T U l U R U 0 g J n F 1 b 3 Q 7 L C Z x d W 9 0 O 0 N P R E k g R k l U W E E g T V V O S U N B V C Z x d W 9 0 O y w m c X V v d D t U S V B V U y D D j V R F T S Z x d W 9 0 O y w m c X V v d D t W S V N J V E V T I E d M T 0 J B T F M g K G R l c y B k Z S B q d W 5 5 I D I w M j M p J n F 1 b 3 Q 7 L C Z x d W 9 0 O 0 N P T U V O V E F S S V M g R 0 x P Q k F M U y A o R k Y p J n F 1 b 3 Q 7 L C Z x d W 9 0 O 1 B S S U 9 S S V R a Q U N J w 5 M g U E V S I E F K V U 5 U Q U 1 F T l R T J n F 1 b 3 Q 7 L C Z x d W 9 0 O 0 Z S R V H D n M O I T k N J Q S B B Q 1 R V Q U x J V F p B Q 0 n D k y B S R V F V R V J J R E E m c X V v d D s s J n F 1 b 3 Q 7 T E x F S S B U U k F O U 1 B B U k V O Q 0 l B I D E 5 M j A x N C B D Q V Q m c X V v d D s s J n F 1 b 3 Q 7 T E x F S S B U U k F O U 1 B B U k V O Q 0 l B I D E 5 M j A x M y B F U 1 A m c X V v d D s s J n F 1 b 3 Q 7 R G V j c m V 0 I D g v M j A y M S Z x d W 9 0 O y w m c X V v d D t P Y n N l c n Z h Y 2 l v b n M g Y S B s Y S B u b 3 J t Y X R p d m E m c X V v d D s s J n F 1 b 3 Q 7 S V R B I D I w M T c m c X V v d D s s J n F 1 b 3 Q 7 S U 5 G T 1 B B U l R J Q 0 l Q Q S A y M D I x J n F 1 b 3 Q 7 L C Z x d W 9 0 O 0 l O R k 9 Q Q V J U S U N J U E E g M j A y M i Z x d W 9 0 O y w m c X V v d D t J T k Z P U E F S V E l D S V B B I D I w M j M m c X V v d D s s J n F 1 b 3 Q 7 R U 5 M T E H D h y B B S l V E Q S Z x d W 9 0 O 1 0 i I C 8 + P E V u d H J 5 I F R 5 c G U 9 I k Z p b G x F c n J v c k N v Z G U i I F Z h b H V l P S J z V W 5 r b m 9 3 b i I g L z 4 8 R W 5 0 c n k g V H l w Z T 0 i T G 9 h Z G V k V G 9 B b m F s e X N p c 1 N l c n Z p Y 2 V z I i B W Y W x 1 Z T 0 i b D A i I C 8 + P E V u d H J 5 I F R 5 c G U 9 I k Z p b G x D b 3 V u d C I g V m F s d W U 9 I m w w I i A v P j x F b n R y e S B U e X B l P S J O Y X Z p Z 2 F 0 a W 9 u U 3 R l c E 5 h b W U i I F Z h b H V l P S J z T m F 2 Z W d h Y 2 n D s 2 4 i I C 8 + P E V u d H J 5 I F R 5 c G U 9 I l J l b G F 0 a W 9 u c 2 h p c E l u Z m 9 D b 2 5 0 Y W l u Z X I i I F Z h b H V l P S J z e y Z x d W 9 0 O 2 N v b H V t b k N v d W 5 0 J n F 1 b 3 Q 7 O j E 5 L C Z x d W 9 0 O 2 t l e U N v b H V t b k 5 h b W V z J n F 1 b 3 Q 7 O l t d L C Z x d W 9 0 O 3 F 1 Z X J 5 U m V s Y X R p b 2 5 z a G l w c y Z x d W 9 0 O z p b X S w m c X V v d D t j b 2 x 1 b W 5 J Z G V u d G l 0 a W V z J n F 1 b 3 Q 7 O l s m c X V v d D t T Z W N 0 a W 9 u M S 9 k Y X R h L 0 F 1 d G 9 S Z W 1 v d m V k Q 2 9 s d W 1 u c z E u e 0 7 D u m 0 u I E 9 S R F J F L D B 9 J n F 1 b 3 Q 7 L C Z x d W 9 0 O 1 N l Y 3 R p b 2 4 x L 2 R h d G E v Q X V 0 b 1 J l b W 9 2 Z W R D b 2 x 1 b W 5 z M S 5 7 T k 9 N R k F N S U x J Q S w x f S Z x d W 9 0 O y w m c X V v d D t T Z W N 0 a W 9 u M S 9 k Y X R h L 0 F 1 d G 9 S Z W 1 v d m V k Q 2 9 s d W 1 u c z E u e 0 5 P T V N V Q k Z B T U l M S U E s M n 0 m c X V v d D s s J n F 1 b 3 Q 7 U 2 V j d G l v b j E v Z G F 0 Y S 9 B d X R v U m V t b 3 Z l Z E N v b H V t b n M x L n t O T 0 1 J V E V N I C w z f S Z x d W 9 0 O y w m c X V v d D t T Z W N 0 a W 9 u M S 9 k Y X R h L 0 F 1 d G 9 S Z W 1 v d m V k Q 2 9 s d W 1 u c z E u e 0 N P R E k g R k l U W E E g T V V O S U N B V C w 0 f S Z x d W 9 0 O y w m c X V v d D t T Z W N 0 a W 9 u M S 9 k Y X R h L 0 F 1 d G 9 S Z W 1 v d m V k Q 2 9 s d W 1 u c z E u e 1 R J U F V T I M O N V E V N L D V 9 J n F 1 b 3 Q 7 L C Z x d W 9 0 O 1 N l Y 3 R p b 2 4 x L 2 R h d G E v Q X V 0 b 1 J l b W 9 2 Z W R D b 2 x 1 b W 5 z M S 5 7 V k l T S V R F U y B H T E 9 C Q U x T I C h k Z X M g Z G U g a n V u e S A y M D I z K S w 2 f S Z x d W 9 0 O y w m c X V v d D t T Z W N 0 a W 9 u M S 9 k Y X R h L 0 F 1 d G 9 S Z W 1 v d m V k Q 2 9 s d W 1 u c z E u e 0 N P T U V O V E F S S V M g R 0 x P Q k F M U y A o R k Y p L D d 9 J n F 1 b 3 Q 7 L C Z x d W 9 0 O 1 N l Y 3 R p b 2 4 x L 2 R h d G E v Q X V 0 b 1 J l b W 9 2 Z W R D b 2 x 1 b W 5 z M S 5 7 U F J J T 1 J J V F p B Q 0 n D k y B Q R V I g Q U p V T l R B T U V O V F M s O H 0 m c X V v d D s s J n F 1 b 3 Q 7 U 2 V j d G l v b j E v Z G F 0 Y S 9 B d X R v U m V t b 3 Z l Z E N v b H V t b n M x L n t G U k V R w 5 z D i E 5 D S U E g Q U N U V U F M S V R a Q U N J w 5 M g U k V R V U V S S U R B L D l 9 J n F 1 b 3 Q 7 L C Z x d W 9 0 O 1 N l Y 3 R p b 2 4 x L 2 R h d G E v Q X V 0 b 1 J l b W 9 2 Z W R D b 2 x 1 b W 5 z M S 5 7 T E x F S S B U U k F O U 1 B B U k V O Q 0 l B I D E 5 M j A x N C B D Q V Q s M T B 9 J n F 1 b 3 Q 7 L C Z x d W 9 0 O 1 N l Y 3 R p b 2 4 x L 2 R h d G E v Q X V 0 b 1 J l b W 9 2 Z W R D b 2 x 1 b W 5 z M S 5 7 T E x F S S B U U k F O U 1 B B U k V O Q 0 l B I D E 5 M j A x M y B F U 1 A s M T F 9 J n F 1 b 3 Q 7 L C Z x d W 9 0 O 1 N l Y 3 R p b 2 4 x L 2 R h d G E v Q X V 0 b 1 J l b W 9 2 Z W R D b 2 x 1 b W 5 z M S 5 7 R G V j c m V 0 I D g v M j A y M S w x M n 0 m c X V v d D s s J n F 1 b 3 Q 7 U 2 V j d G l v b j E v Z G F 0 Y S 9 B d X R v U m V t b 3 Z l Z E N v b H V t b n M x L n t P Y n N l c n Z h Y 2 l v b n M g Y S B s Y S B u b 3 J t Y X R p d m E s M T N 9 J n F 1 b 3 Q 7 L C Z x d W 9 0 O 1 N l Y 3 R p b 2 4 x L 2 R h d G E v Q X V 0 b 1 J l b W 9 2 Z W R D b 2 x 1 b W 5 z M S 5 7 S V R B I D I w M T c s M T R 9 J n F 1 b 3 Q 7 L C Z x d W 9 0 O 1 N l Y 3 R p b 2 4 x L 2 R h d G E v Q X V 0 b 1 J l b W 9 2 Z W R D b 2 x 1 b W 5 z M S 5 7 S U 5 G T 1 B B U l R J Q 0 l Q Q S A y M D I x L D E 1 f S Z x d W 9 0 O y w m c X V v d D t T Z W N 0 a W 9 u M S 9 k Y X R h L 0 F 1 d G 9 S Z W 1 v d m V k Q 2 9 s d W 1 u c z E u e 0 l O R k 9 Q Q V J U S U N J U E E g M j A y M i w x N n 0 m c X V v d D s s J n F 1 b 3 Q 7 U 2 V j d G l v b j E v Z G F 0 Y S 9 B d X R v U m V t b 3 Z l Z E N v b H V t b n M x L n t J T k Z P U E F S V E l D S V B B I D I w M j M s M T d 9 J n F 1 b 3 Q 7 L C Z x d W 9 0 O 1 N l Y 3 R p b 2 4 x L 2 R h d G E v Q X V 0 b 1 J l b W 9 2 Z W R D b 2 x 1 b W 5 z M S 5 7 R U 5 M T E H D h y B B S l V E Q S w x O H 0 m c X V v d D t d L C Z x d W 9 0 O 0 N v b H V t b k N v d W 5 0 J n F 1 b 3 Q 7 O j E 5 L C Z x d W 9 0 O 0 t l e U N v b H V t b k 5 h b W V z J n F 1 b 3 Q 7 O l t d L C Z x d W 9 0 O 0 N v b H V t b k l k Z W 5 0 a X R p Z X M m c X V v d D s 6 W y Z x d W 9 0 O 1 N l Y 3 R p b 2 4 x L 2 R h d G E v Q X V 0 b 1 J l b W 9 2 Z W R D b 2 x 1 b W 5 z M S 5 7 T s O 6 b S 4 g T 1 J E U k U s M H 0 m c X V v d D s s J n F 1 b 3 Q 7 U 2 V j d G l v b j E v Z G F 0 Y S 9 B d X R v U m V t b 3 Z l Z E N v b H V t b n M x L n t O T 0 1 G Q U 1 J T E l B L D F 9 J n F 1 b 3 Q 7 L C Z x d W 9 0 O 1 N l Y 3 R p b 2 4 x L 2 R h d G E v Q X V 0 b 1 J l b W 9 2 Z W R D b 2 x 1 b W 5 z M S 5 7 T k 9 N U 1 V C R k F N S U x J Q S w y f S Z x d W 9 0 O y w m c X V v d D t T Z W N 0 a W 9 u M S 9 k Y X R h L 0 F 1 d G 9 S Z W 1 v d m V k Q 2 9 s d W 1 u c z E u e 0 5 P T U l U R U 0 g L D N 9 J n F 1 b 3 Q 7 L C Z x d W 9 0 O 1 N l Y 3 R p b 2 4 x L 2 R h d G E v Q X V 0 b 1 J l b W 9 2 Z W R D b 2 x 1 b W 5 z M S 5 7 Q 0 9 E S S B G S V R Y Q S B N V U 5 J Q 0 F U L D R 9 J n F 1 b 3 Q 7 L C Z x d W 9 0 O 1 N l Y 3 R p b 2 4 x L 2 R h d G E v Q X V 0 b 1 J l b W 9 2 Z W R D b 2 x 1 b W 5 z M S 5 7 V E l Q V V M g w 4 1 U R U 0 s N X 0 m c X V v d D s s J n F 1 b 3 Q 7 U 2 V j d G l v b j E v Z G F 0 Y S 9 B d X R v U m V t b 3 Z l Z E N v b H V t b n M x L n t W S V N J V E V T I E d M T 0 J B T F M g K G R l c y B k Z S B q d W 5 5 I D I w M j M p L D Z 9 J n F 1 b 3 Q 7 L C Z x d W 9 0 O 1 N l Y 3 R p b 2 4 x L 2 R h d G E v Q X V 0 b 1 J l b W 9 2 Z W R D b 2 x 1 b W 5 z M S 5 7 Q 0 9 N R U 5 U Q V J J U y B H T E 9 C Q U x T I C h G R i k s N 3 0 m c X V v d D s s J n F 1 b 3 Q 7 U 2 V j d G l v b j E v Z G F 0 Y S 9 B d X R v U m V t b 3 Z l Z E N v b H V t b n M x L n t Q U k l P U k l U W k F D S c O T I F B F U i B B S l V O V E F N R U 5 U U y w 4 f S Z x d W 9 0 O y w m c X V v d D t T Z W N 0 a W 9 u M S 9 k Y X R h L 0 F 1 d G 9 S Z W 1 v d m V k Q 2 9 s d W 1 u c z E u e 0 Z S R V H D n M O I T k N J Q S B B Q 1 R V Q U x J V F p B Q 0 n D k y B S R V F V R V J J R E E s O X 0 m c X V v d D s s J n F 1 b 3 Q 7 U 2 V j d G l v b j E v Z G F 0 Y S 9 B d X R v U m V t b 3 Z l Z E N v b H V t b n M x L n t M T E V J I F R S Q U 5 T U E F S R U 5 D S U E g M T k y M D E 0 I E N B V C w x M H 0 m c X V v d D s s J n F 1 b 3 Q 7 U 2 V j d G l v b j E v Z G F 0 Y S 9 B d X R v U m V t b 3 Z l Z E N v b H V t b n M x L n t M T E V J I F R S Q U 5 T U E F S R U 5 D S U E g M T k y M D E z I E V T U C w x M X 0 m c X V v d D s s J n F 1 b 3 Q 7 U 2 V j d G l v b j E v Z G F 0 Y S 9 B d X R v U m V t b 3 Z l Z E N v b H V t b n M x L n t E Z W N y Z X Q g O C 8 y M D I x L D E y f S Z x d W 9 0 O y w m c X V v d D t T Z W N 0 a W 9 u M S 9 k Y X R h L 0 F 1 d G 9 S Z W 1 v d m V k Q 2 9 s d W 1 u c z E u e 0 9 i c 2 V y d m F j a W 9 u c y B h I G x h I G 5 v c m 1 h d G l 2 Y S w x M 3 0 m c X V v d D s s J n F 1 b 3 Q 7 U 2 V j d G l v b j E v Z G F 0 Y S 9 B d X R v U m V t b 3 Z l Z E N v b H V t b n M x L n t J V E E g M j A x N y w x N H 0 m c X V v d D s s J n F 1 b 3 Q 7 U 2 V j d G l v b j E v Z G F 0 Y S 9 B d X R v U m V t b 3 Z l Z E N v b H V t b n M x L n t J T k Z P U E F S V E l D S V B B I D I w M j E s M T V 9 J n F 1 b 3 Q 7 L C Z x d W 9 0 O 1 N l Y 3 R p b 2 4 x L 2 R h d G E v Q X V 0 b 1 J l b W 9 2 Z W R D b 2 x 1 b W 5 z M S 5 7 S U 5 G T 1 B B U l R J Q 0 l Q Q S A y M D I y L D E 2 f S Z x d W 9 0 O y w m c X V v d D t T Z W N 0 a W 9 u M S 9 k Y X R h L 0 F 1 d G 9 S Z W 1 v d m V k Q 2 9 s d W 1 u c z E u e 0 l O R k 9 Q Q V J U S U N J U E E g M j A y M y w x N 3 0 m c X V v d D s s J n F 1 b 3 Q 7 U 2 V j d G l v b j E v Z G F 0 Y S 9 B d X R v U m V t b 3 Z l Z E N v b H V t b n M x L n t F T k x M Q c O H I E F K V U R B L D E 4 f S Z x d W 9 0 O 1 0 s J n F 1 b 3 Q 7 U m V s Y X R p b 2 5 z a G l w S W 5 m b y Z x d W 9 0 O z p b X X 0 i I C 8 + P E V u d H J 5 I F R 5 c G U 9 I k Z p b G x U Y X J n Z X R O Y W 1 l Q 3 V z d G 9 t a X p l Z C I g V m F s d W U 9 I m w x I i A v P j x F b n R y e S B U e X B l P S J B Z G R l Z F R v R G F 0 Y U 1 v Z G V s I i B W Y W x 1 Z T 0 i b D A i I C 8 + P C 9 T d G F i b G V F b n R y a W V z P j w v S X R l b T 4 8 S X R l b T 4 8 S X R l b U x v Y 2 F 0 a W 9 u P j x J d G V t V H l w Z T 5 G b 3 J t d W x h P C 9 J d G V t V H l w Z T 4 8 S X R l b V B h d G g + U 2 V j d G l v b j E v Z G F 0 Y S U y M C g z K S 9 P c m l n Z W 4 8 L 0 l 0 Z W 1 Q Y X R o P j w v S X R l b U x v Y 2 F 0 a W 9 u P j x T d G F i b G V F b n R y a W V z I C 8 + P C 9 J d G V t P j x J d G V t P j x J d G V t T G 9 j Y X R p b 2 4 + P E l 0 Z W 1 U e X B l P k Z v c m 1 1 b G E 8 L 0 l 0 Z W 1 U e X B l P j x J d G V t U G F 0 a D 5 T Z W N 0 a W 9 u M S 9 k Y X R h J T I w K D M p L 0 V u Y 2 F i Z X p h Z G 9 z J T I w c H J v b W 9 2 a W R v c z w v S X R l b V B h d G g + P C 9 J d G V t T G 9 j Y X R p b 2 4 + P F N 0 Y W J s Z U V u d H J p Z X M g L z 4 8 L 0 l 0 Z W 0 + P E l 0 Z W 0 + P E l 0 Z W 1 M b 2 N h d G l v b j 4 8 S X R l b V R 5 c G U + R m 9 y b X V s Y T w v S X R l b V R 5 c G U + P E l 0 Z W 1 Q Y X R o P l N l Y 3 R p b 2 4 x L 2 R h d G E l M j A o M y k v V G l w b y U y M G N h b W J p Y W R v P C 9 J d G V t U G F 0 a D 4 8 L 0 l 0 Z W 1 M b 2 N h d G l v b j 4 8 U 3 R h Y m x l R W 5 0 c m l l c y A v P j w v S X R l b T 4 8 L 0 l 0 Z W 1 z P j w v T G 9 j Y W x Q Y W N r Y W d l T W V 0 Y W R h d G F G a W x l P h Y A A A B Q S w U G A A A A A A A A A A A A A A A A A A A A A A A A 2 g A A A A E A A A D Q j J 3 f A R X R E Y x 6 A M B P w p f r A Q A A A M x 3 F C a Y y c p J m w H G 4 t u 0 j z U A A A A A A g A A A A A A A 2 Y A A M A A A A A Q A A A A z j A 3 6 D r x 9 1 d D R v p e v a L v z g A A A A A E g A A A o A A A A B A A A A A H O J U M P / F u B 8 2 3 j 4 J o o 0 G W U A A A A K 7 H a U 6 y F q B Z X d o d 2 k y l Q Y p f v a 2 R X 4 m 3 v h a J a a T w j D v 6 H v z y 1 7 / M m L 5 X a M L m K X O d F i U f + a o n x 1 K w C s i l k H I U / f f q C T 3 L d A M k N S q i l e x 6 v B + u F A A A A G 9 O j R o 9 O s s 7 3 2 7 b 0 D 3 J T L 2 I c z l k < / D a t a M a s h u p > 
</file>

<file path=customXml/itemProps1.xml><?xml version="1.0" encoding="utf-8"?>
<ds:datastoreItem xmlns:ds="http://schemas.openxmlformats.org/officeDocument/2006/customXml" ds:itemID="{0093D217-2735-4B38-8F36-F3AC6BA883B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11</vt:i4>
      </vt:variant>
    </vt:vector>
  </HeadingPairs>
  <TitlesOfParts>
    <vt:vector size="19" baseType="lpstr">
      <vt:lpstr>1_Plantejament</vt:lpstr>
      <vt:lpstr>2_Avaluació</vt:lpstr>
      <vt:lpstr>3_Informe</vt:lpstr>
      <vt:lpstr>4_Resultats</vt:lpstr>
      <vt:lpstr>5_DadesObertes</vt:lpstr>
      <vt:lpstr>6_Metodologia</vt:lpstr>
      <vt:lpstr>7_Fases</vt:lpstr>
      <vt:lpstr>8_Selectors</vt:lpstr>
      <vt:lpstr>AnyAvaluacio</vt:lpstr>
      <vt:lpstr>'3_Informe'!Área_de_impresión</vt:lpstr>
      <vt:lpstr>DataAvaluacio</vt:lpstr>
      <vt:lpstr>Desp1_TipusEns</vt:lpstr>
      <vt:lpstr>Desp2_Fases</vt:lpstr>
      <vt:lpstr>Desp3_Avaluable</vt:lpstr>
      <vt:lpstr>Desp4_ValorsAvaluacio</vt:lpstr>
      <vt:lpstr>FaseAvaluacio</vt:lpstr>
      <vt:lpstr>NomEns</vt:lpstr>
      <vt:lpstr>NumItemsAvaluats</vt:lpstr>
      <vt:lpstr>TipusEns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Auxiliar - Ajuntament de la Tallada d'Empordà</cp:lastModifiedBy>
  <cp:lastPrinted>2025-06-05T07:14:41Z</cp:lastPrinted>
  <dcterms:created xsi:type="dcterms:W3CDTF">2024-03-20T09:14:30Z</dcterms:created>
  <dcterms:modified xsi:type="dcterms:W3CDTF">2026-07-02T13:20:19Z</dcterms:modified>
</cp:coreProperties>
</file>