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N:\dep_U026\Unitats_Funcionals\Oficina_ingressos\Ordenances_fiscals\OF 2026\Casino\2_2025_AMO\TRANSPARENCIA\"/>
    </mc:Choice>
  </mc:AlternateContent>
  <xr:revisionPtr revIDLastSave="0" documentId="13_ncr:1_{C1D495B1-8AF8-489D-B0E6-EDB2C84092AB}" xr6:coauthVersionLast="47" xr6:coauthVersionMax="47" xr10:uidLastSave="{00000000-0000-0000-0000-000000000000}"/>
  <bookViews>
    <workbookView xWindow="-120" yWindow="-120" windowWidth="29040" windowHeight="15720" xr2:uid="{E8198974-FA5D-495E-9DFB-E432B60EC022}"/>
  </bookViews>
  <sheets>
    <sheet name="Casino Preu Publics" sheetId="8" r:id="rId1"/>
    <sheet name="Hoja1" sheetId="9"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3" i="8" l="1"/>
  <c r="D152" i="8"/>
  <c r="D151" i="8"/>
  <c r="F127" i="8" l="1"/>
  <c r="G127" i="8" s="1"/>
  <c r="B137" i="8"/>
  <c r="G113" i="8"/>
  <c r="I113" i="8" s="1"/>
  <c r="C9" i="9"/>
  <c r="E6" i="9"/>
  <c r="E7" i="9"/>
  <c r="E8" i="9"/>
  <c r="E5" i="9"/>
  <c r="E132" i="8"/>
  <c r="F131" i="8"/>
  <c r="G131" i="8" s="1"/>
  <c r="F130" i="8"/>
  <c r="G130" i="8" s="1"/>
  <c r="F129" i="8"/>
  <c r="G129" i="8" s="1"/>
  <c r="F128" i="8"/>
  <c r="B127" i="8"/>
  <c r="B128" i="8" s="1"/>
  <c r="B129" i="8" s="1"/>
  <c r="B130" i="8" s="1"/>
  <c r="B131" i="8" s="1"/>
  <c r="F126" i="8"/>
  <c r="G126" i="8" s="1"/>
  <c r="E112" i="8"/>
  <c r="E110" i="8"/>
  <c r="I110" i="8" s="1"/>
  <c r="E108" i="8"/>
  <c r="E106" i="8"/>
  <c r="E104" i="8"/>
  <c r="G104" i="8" s="1"/>
  <c r="F120" i="8"/>
  <c r="F119" i="8"/>
  <c r="F118" i="8"/>
  <c r="F97" i="8"/>
  <c r="F96" i="8"/>
  <c r="F95" i="8"/>
  <c r="E9" i="9" l="1"/>
  <c r="G112" i="8"/>
  <c r="I108" i="8"/>
  <c r="I106" i="8"/>
  <c r="G128" i="8"/>
  <c r="F132" i="8"/>
  <c r="F121" i="8"/>
  <c r="F98" i="8"/>
  <c r="B172" i="8"/>
  <c r="B173" i="8" s="1"/>
  <c r="B174" i="8" s="1"/>
  <c r="B175" i="8" s="1"/>
  <c r="B176" i="8" s="1"/>
  <c r="B162" i="8"/>
  <c r="B163" i="8" s="1"/>
  <c r="B164" i="8" s="1"/>
  <c r="B165" i="8" s="1"/>
  <c r="B166" i="8" s="1"/>
  <c r="G87" i="8"/>
  <c r="E87" i="8" s="1"/>
  <c r="G86" i="8"/>
  <c r="E86" i="8" s="1"/>
  <c r="G85" i="8"/>
  <c r="E85" i="8" s="1"/>
  <c r="G84" i="8"/>
  <c r="E84" i="8" s="1"/>
  <c r="G83" i="8"/>
  <c r="E83" i="8" s="1"/>
  <c r="G82" i="8"/>
  <c r="E82" i="8" s="1"/>
  <c r="E61" i="8"/>
  <c r="F60" i="8"/>
  <c r="F59" i="8"/>
  <c r="F58" i="8"/>
  <c r="F57" i="8"/>
  <c r="F56" i="8"/>
  <c r="B56" i="8"/>
  <c r="B57" i="8" s="1"/>
  <c r="B58" i="8" s="1"/>
  <c r="B59" i="8" s="1"/>
  <c r="B60" i="8" s="1"/>
  <c r="F55" i="8"/>
  <c r="B45" i="8"/>
  <c r="B46" i="8" s="1"/>
  <c r="G37" i="8"/>
  <c r="G36" i="8"/>
  <c r="G35" i="8"/>
  <c r="B35" i="8"/>
  <c r="B36" i="8" s="1"/>
  <c r="B37" i="8" s="1"/>
  <c r="S34" i="8"/>
  <c r="T34" i="8" s="1"/>
  <c r="J33" i="8"/>
  <c r="K32" i="8" s="1"/>
  <c r="O32" i="8" s="1"/>
  <c r="D27" i="8"/>
  <c r="O25" i="8"/>
  <c r="O24" i="8"/>
  <c r="D22" i="8"/>
  <c r="B18" i="8"/>
  <c r="B19" i="8" s="1"/>
  <c r="B20" i="8" s="1"/>
  <c r="B21" i="8" s="1"/>
  <c r="B25" i="8" s="1"/>
  <c r="B26" i="8" s="1"/>
  <c r="G13" i="8"/>
  <c r="G12" i="8"/>
  <c r="G11" i="8"/>
  <c r="B11" i="8"/>
  <c r="B12" i="8" s="1"/>
  <c r="B13" i="8" s="1"/>
  <c r="G10" i="8"/>
  <c r="I114" i="8" l="1"/>
  <c r="D136" i="8" s="1"/>
  <c r="G132" i="8"/>
  <c r="D137" i="8" s="1"/>
  <c r="G14" i="8"/>
  <c r="D44" i="8" s="1"/>
  <c r="O26" i="8"/>
  <c r="O27" i="8" s="1"/>
  <c r="O28" i="8" s="1"/>
  <c r="O29" i="8" s="1"/>
  <c r="F61" i="8"/>
  <c r="D66" i="8" s="1"/>
  <c r="D29" i="8"/>
  <c r="O33" i="8"/>
  <c r="O34" i="8"/>
  <c r="D138" i="8" l="1"/>
  <c r="D143" i="8" s="1"/>
  <c r="D45" i="8"/>
  <c r="O35" i="8"/>
  <c r="O36" i="8" s="1"/>
  <c r="O37" i="8" s="1"/>
  <c r="D34" i="8" s="1"/>
  <c r="G34" i="8" s="1"/>
  <c r="G40" i="8" s="1"/>
  <c r="F49" i="8" s="1"/>
  <c r="D65" i="8" s="1"/>
  <c r="D67" i="8" s="1"/>
  <c r="D46" i="8" l="1"/>
  <c r="D47" i="8" s="1"/>
  <c r="D85" i="8" l="1"/>
  <c r="F85" i="8" s="1"/>
  <c r="H85" i="8" s="1"/>
  <c r="J85" i="8" s="1"/>
  <c r="D86" i="8"/>
  <c r="D83" i="8"/>
  <c r="F83" i="8" s="1"/>
  <c r="H83" i="8" s="1"/>
  <c r="D87" i="8"/>
  <c r="D84" i="8"/>
  <c r="F84" i="8" s="1"/>
  <c r="H84" i="8" s="1"/>
  <c r="D82" i="8"/>
  <c r="F82" i="8" l="1"/>
  <c r="D88" i="8"/>
  <c r="J84" i="8"/>
  <c r="E173" i="8" s="1"/>
  <c r="J83" i="8"/>
  <c r="G172" i="8" s="1"/>
  <c r="F86" i="8"/>
  <c r="H86" i="8" s="1"/>
  <c r="J86" i="8" s="1"/>
  <c r="D175" i="8" s="1"/>
  <c r="G174" i="8"/>
  <c r="F174" i="8"/>
  <c r="E174" i="8"/>
  <c r="D174" i="8"/>
  <c r="H82" i="8" l="1"/>
  <c r="J82" i="8" s="1"/>
  <c r="D171" i="8" s="1"/>
  <c r="F87" i="8"/>
  <c r="H87" i="8" s="1"/>
  <c r="J87" i="8" s="1"/>
  <c r="D176" i="8" s="1"/>
  <c r="G171" i="8"/>
  <c r="E88" i="8"/>
  <c r="F88" i="8" s="1"/>
  <c r="D144" i="8" s="1"/>
  <c r="D145" i="8" s="1"/>
  <c r="D173" i="8"/>
  <c r="F173" i="8"/>
  <c r="G173" i="8"/>
  <c r="D172" i="8"/>
  <c r="E172" i="8"/>
  <c r="F172" i="8"/>
  <c r="F171" i="8" l="1"/>
  <c r="E17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eos</author>
  </authors>
  <commentList>
    <comment ref="D36" authorId="0" shapeId="0" xr:uid="{D5AE04CE-A6A9-4408-8421-E87E9A0ACA16}">
      <text>
        <r>
          <rPr>
            <b/>
            <sz val="9"/>
            <color indexed="81"/>
            <rFont val="Tahoma"/>
            <family val="2"/>
          </rPr>
          <t>eos:</t>
        </r>
        <r>
          <rPr>
            <sz val="9"/>
            <color indexed="81"/>
            <rFont val="Tahoma"/>
            <family val="2"/>
          </rPr>
          <t xml:space="preserve">
Heu de justificar també d'on surten aquests imports. En aquest de 60 en concret, com a import final poseu 68,75. Entenc que és una errada i que queda justificat amb els 68,75 dels obsequis. Sobre els 40, justifiqueu d¡on surt. Més tenint en compte que és una empresa externa qui fa la neteja. Quin material aporta l'ajuntament? Perquè desprésposeu 50?</t>
        </r>
      </text>
    </comment>
  </commentList>
</comments>
</file>

<file path=xl/sharedStrings.xml><?xml version="1.0" encoding="utf-8"?>
<sst xmlns="http://schemas.openxmlformats.org/spreadsheetml/2006/main" count="215" uniqueCount="168">
  <si>
    <t>Data:</t>
  </si>
  <si>
    <t>hores anuals</t>
  </si>
  <si>
    <t xml:space="preserve">Capítol 1 Recursos humans </t>
  </si>
  <si>
    <t>Unitat/hores</t>
  </si>
  <si>
    <t>Total</t>
  </si>
  <si>
    <t>Notes</t>
  </si>
  <si>
    <t>Retribució anual amb TGSS</t>
  </si>
  <si>
    <t>https://www.boe.es/buscar/act.php?id=BOE-A-2019-2861</t>
  </si>
  <si>
    <t>hores/anuals jornada</t>
  </si>
  <si>
    <t>2 hores</t>
  </si>
  <si>
    <t>Capítol 2 béns i serveis Material</t>
  </si>
  <si>
    <t>Preu hora</t>
  </si>
  <si>
    <t>IVA</t>
  </si>
  <si>
    <t>TOTAL</t>
  </si>
  <si>
    <t>Despeses indirectes</t>
  </si>
  <si>
    <t>https://seu.rubi.cat/documentPublic/download/3882</t>
  </si>
  <si>
    <t>https://seu.rubi.cat/documentPublic/download/3907</t>
  </si>
  <si>
    <t>a</t>
  </si>
  <si>
    <t>b</t>
  </si>
  <si>
    <t>c</t>
  </si>
  <si>
    <t>d</t>
  </si>
  <si>
    <t>Cost del servei per cada acte al Casino</t>
  </si>
  <si>
    <t>Tècnic A2 - Arts escèniques</t>
  </si>
  <si>
    <t>Taquillera serveis de cultura AP</t>
  </si>
  <si>
    <t>https://seu.rubi.cat/contingutPublic/mostrarContingut/56</t>
  </si>
  <si>
    <t>Serveis tècnics</t>
  </si>
  <si>
    <t>Serveis auxiliars de sala</t>
  </si>
  <si>
    <t>El canon de la SGAE està establert en el 10% de la recaptació de taquilla, que s'estableix amb una previsió mitjana de 2.500,00 €</t>
  </si>
  <si>
    <t>Cost de catxet</t>
  </si>
  <si>
    <t>Balls populars</t>
  </si>
  <si>
    <t>e</t>
  </si>
  <si>
    <t>f</t>
  </si>
  <si>
    <t>4pax x 4 h.</t>
  </si>
  <si>
    <t>preu tècnic 28€/hora</t>
  </si>
  <si>
    <t>2pax x 8 h.</t>
  </si>
  <si>
    <t>Cànon SGAE</t>
  </si>
  <si>
    <t xml:space="preserve">Mitjana cost </t>
  </si>
  <si>
    <t>Aforament</t>
  </si>
  <si>
    <t>Platea</t>
  </si>
  <si>
    <t>1r pis central</t>
  </si>
  <si>
    <t>1r pis lateral</t>
  </si>
  <si>
    <t>2n pis</t>
  </si>
  <si>
    <t>Balls populars (preu únic)</t>
  </si>
  <si>
    <t>Preu públic per la prestació de serveis d’activitats al Casino</t>
  </si>
  <si>
    <t>(8.360,55€ preu anual neteja casino (EXP 158/2025/LICI)</t>
  </si>
  <si>
    <t>Despeses generals 5,5%</t>
  </si>
  <si>
    <t>IVA 21%</t>
  </si>
  <si>
    <t>Subtotal</t>
  </si>
  <si>
    <t>referència sobre 220 dies/anuals</t>
  </si>
  <si>
    <t>Referència Marta Sole Muñoz enviar &gt;&gt; msm@ajrubi.cat</t>
  </si>
  <si>
    <t xml:space="preserve"> </t>
  </si>
  <si>
    <t>4 hores</t>
  </si>
  <si>
    <t>(8.360,55€ preu anual neteja casino (EXP 158/2022/LICI)</t>
  </si>
  <si>
    <t>PREUS PÚBLICS PER LA PRESTACIÓ DE SERVEIS D’ESPECTACLES D’ARTS ESCÈNIQUES O MÚSICA AL CASINO</t>
  </si>
  <si>
    <t>Cost anual empresa (retribució + TGSS)</t>
  </si>
  <si>
    <t>percentatge imputació</t>
  </si>
  <si>
    <t>Personal administratiu C1</t>
  </si>
  <si>
    <t>Personal de comunicació A2</t>
  </si>
  <si>
    <t>Despeses de manteniment</t>
  </si>
  <si>
    <t>Climatització, enllumenat, lampisteria</t>
  </si>
  <si>
    <t>Ascensors</t>
  </si>
  <si>
    <t>Parallamps</t>
  </si>
  <si>
    <t>Sistemes de detecció i protecció davant incendis</t>
  </si>
  <si>
    <t>Sistemes de seguretat</t>
  </si>
  <si>
    <t>SUBTOTAL</t>
  </si>
  <si>
    <t>Despeses de subministraments</t>
  </si>
  <si>
    <t>Aigua</t>
  </si>
  <si>
    <t>Electricitat</t>
  </si>
  <si>
    <t>TOTAL manteniment i subministraments</t>
  </si>
  <si>
    <t>Serveis de neteja casino (EXP 158/2022/LICI)</t>
  </si>
  <si>
    <t>Periode</t>
  </si>
  <si>
    <t>neteja EXP 158/2022/LICI</t>
  </si>
  <si>
    <t>Pressupost anual neteja EXP 158/2022/LICI</t>
  </si>
  <si>
    <t>Pressupost anual</t>
  </si>
  <si>
    <t>Benefici empresarial 1,8%</t>
  </si>
  <si>
    <t>Estimació espectacles/anuals</t>
  </si>
  <si>
    <t>Total de béns i serveis (anual)</t>
  </si>
  <si>
    <t xml:space="preserve">Despeses de béns i serveis </t>
  </si>
  <si>
    <t>Despeses de manteniment i subministraments</t>
  </si>
  <si>
    <t>Despeses de personal (Capítol 1)</t>
  </si>
  <si>
    <t>El Casino - Despeses directes / estimació anual</t>
  </si>
  <si>
    <t>TOTAL d'Activitats (estimació anual)</t>
  </si>
  <si>
    <t>Sala principal, Fins a 2.500,00€</t>
  </si>
  <si>
    <t>Sala principal, De 2.500,01€ a 6.000,00€</t>
  </si>
  <si>
    <t>Sala principal, De 6.000,01€ a 10.000,00€</t>
  </si>
  <si>
    <t>Espectacles/anuals</t>
  </si>
  <si>
    <t>Sala principal, catxet fins a 2.500,00€</t>
  </si>
  <si>
    <t>Sala principal, catxet de 2.500,01€ a 6.000,00€</t>
  </si>
  <si>
    <t>Sala principal, catxet de 6.000,01 a 10.000,00€</t>
  </si>
  <si>
    <t>Sala principal, catxet a partir de 10.000,00€</t>
  </si>
  <si>
    <t>Sala principal, A partir de 10.000,01€</t>
  </si>
  <si>
    <t>Sala principal, catxet a partir de 10.000,01€</t>
  </si>
  <si>
    <t>Total/anual</t>
  </si>
  <si>
    <t>Sala polivalent “La Càmera”</t>
  </si>
  <si>
    <t>Sala polivalent “La Càmera” (preu únic)</t>
  </si>
  <si>
    <t>Previsió ingressos espectacle</t>
  </si>
  <si>
    <t>Previsió Assistents</t>
  </si>
  <si>
    <t>Preu entrada</t>
  </si>
  <si>
    <t>Total espectacle</t>
  </si>
  <si>
    <t>Assistents espectacles</t>
  </si>
  <si>
    <t>Catxet fins a 2.500,00 € (1)</t>
  </si>
  <si>
    <t>Catxet 2.500,01-6.000,00 € (1)</t>
  </si>
  <si>
    <t>Catxet 6.000,01-10.000,00 € (1)</t>
  </si>
  <si>
    <t>Assistents Balls populars (2)</t>
  </si>
  <si>
    <t>Assistents espectacle sala polivalent La Càmara (2)</t>
  </si>
  <si>
    <t>Espectacles previstos</t>
  </si>
  <si>
    <t>Recaptació prevista</t>
  </si>
  <si>
    <t>Exercici</t>
  </si>
  <si>
    <t>Catxet justificats</t>
  </si>
  <si>
    <t>Subvenció rebuda</t>
  </si>
  <si>
    <t>% suport sobre catxet</t>
  </si>
  <si>
    <t>Teatre La Sala – Històric d'entrades venudes i liquidades a tresoreria per espectacles d'arts escèniques i música  amb companyies professionals.</t>
  </si>
  <si>
    <t>Entrades posades a la venda</t>
  </si>
  <si>
    <t>Entrades venudes</t>
  </si>
  <si>
    <t>% entrades venudes</t>
  </si>
  <si>
    <t>INGRESSOS</t>
  </si>
  <si>
    <t>Teatre La Sala – Històric de subvencions rebudes Programa.Cat i justificades per l'Ajuntament de Rubí</t>
  </si>
  <si>
    <t>Catxet superior 10.000,01 € (1)</t>
  </si>
  <si>
    <t>Despeses anuals /espectacle</t>
  </si>
  <si>
    <t>despeses directes</t>
  </si>
  <si>
    <t>Total Despeses</t>
  </si>
  <si>
    <t>% mitjà venda entrades</t>
  </si>
  <si>
    <t>Percentatge mitja d'assistents per espectacle 2022-2024 Teatre La Sala</t>
  </si>
  <si>
    <t>Previsió recaptació per venda d'entrades</t>
  </si>
  <si>
    <t>Previsió subvencions en espècies Programa.Cat</t>
  </si>
  <si>
    <t>Preus públics i percentatges de cobertura de costos</t>
  </si>
  <si>
    <t>Percentatge mitjà de subvenció Programa.Cat</t>
  </si>
  <si>
    <t>Suport previst</t>
  </si>
  <si>
    <t>PROPOSTA PREUS PÚBLICS</t>
  </si>
  <si>
    <t>Despeses directes sense catxet</t>
  </si>
  <si>
    <t>Total despeses directes anuals programa</t>
  </si>
  <si>
    <t>Despeses previstes catxet</t>
  </si>
  <si>
    <t>Total Despeses vinculades al programa</t>
  </si>
  <si>
    <t>Sala polivalent “La Càmara”</t>
  </si>
  <si>
    <t>Total Costos programa</t>
  </si>
  <si>
    <t>Total despeses previstes</t>
  </si>
  <si>
    <t>Total Ingressos previstos</t>
  </si>
  <si>
    <t>Total costos programa</t>
  </si>
  <si>
    <t>Costos (Ingressos-Despeses)</t>
  </si>
  <si>
    <t>Percentatge cobertura ingressos</t>
  </si>
  <si>
    <t>Despeses anuals de la prestació de serveis</t>
  </si>
  <si>
    <t>Total despeses bens i serveis, personal, manteniment i subministraments</t>
  </si>
  <si>
    <t>Despeses anuals previstes per catxets espectacles</t>
  </si>
  <si>
    <t>Càlcul despeses indirectes</t>
  </si>
  <si>
    <t xml:space="preserve">DESPESA INDIRECTA CENTRES MITJOS </t>
  </si>
  <si>
    <t xml:space="preserve">DESPESA INDIRECTA MANTENIMENT </t>
  </si>
  <si>
    <t xml:space="preserve">DESPESA INDIRECTA FINANCERA </t>
  </si>
  <si>
    <t xml:space="preserve">DESPESA INDIRECTA AMORTITZACIÓ </t>
  </si>
  <si>
    <t>TOTALS</t>
  </si>
  <si>
    <t>activitats anuals previstes</t>
  </si>
  <si>
    <t>% mitjà subvenció sobre catxet</t>
  </si>
  <si>
    <t>Total previsió d'ingressos</t>
  </si>
  <si>
    <t>Ingressos per recaptació d'entrades</t>
  </si>
  <si>
    <t>Isubvencions Progra.Cat per cobertura de catxets</t>
  </si>
  <si>
    <t>Mitjana anual d'activitats</t>
  </si>
  <si>
    <t>Percentatge de cobertura del preu sobre el cost total</t>
  </si>
  <si>
    <t>El Casino (trams per catxet i tipus espectacle)</t>
  </si>
  <si>
    <t>Despesa/persona</t>
  </si>
  <si>
    <t>Despesa per cada activitat</t>
  </si>
  <si>
    <t>TOTAL DESPESA DIRECTA (325.267,51€) / TOTAL DESPESA ÀREA 3.047.791,19€ = 325.267,51€/3.047.791,19€ = 0,11</t>
  </si>
  <si>
    <t>Grau de cobertura sense considerar preus públics</t>
  </si>
  <si>
    <t>Total finançament municipal</t>
  </si>
  <si>
    <t>Percentatge cobertura amb subvencions</t>
  </si>
  <si>
    <t>Total ingressos previstos per subvencions/transferencies</t>
  </si>
  <si>
    <t>RLT-1134 A2 €/anuals cost empresa</t>
  </si>
  <si>
    <t xml:space="preserve"> RLT 1392 AP €/anuals cost empresa</t>
  </si>
  <si>
    <t xml:space="preserve"> RLT-753</t>
  </si>
  <si>
    <t xml:space="preserve"> RLT-1715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</si>
</sst>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8" formatCode="#,##0.00\ &quot;€&quot;;[Red]\-#,##0.00\ &quot;€&quot;"/>
    <numFmt numFmtId="44" formatCode="_-* #,##0.00\ &quot;€&quot;_-;\-* #,##0.00\ &quot;€&quot;_-;_-* &quot;-&quot;??\ &quot;€&quot;_-;_-@_-"/>
    <numFmt numFmtId="164" formatCode="#,##0_ ;[Red]\-#,##0\ "/>
    <numFmt numFmtId="165" formatCode="_-* #,##0.00\ [$€-C0A]_-;\-* #,##0.00\ [$€-C0A]_-;_-* &quot;-&quot;??\ [$€-C0A]_-;_-@_-"/>
    <numFmt numFmtId="166" formatCode="#,##0_ ;\-#,##0\ "/>
    <numFmt numFmtId="167" formatCode="#,##0.00\ &quot;€&quot;"/>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12"/>
      <color theme="1"/>
      <name val="Arial"/>
      <family val="2"/>
    </font>
    <font>
      <sz val="12"/>
      <color theme="1"/>
      <name val="Calibri"/>
      <family val="2"/>
      <scheme val="minor"/>
    </font>
    <font>
      <u/>
      <sz val="11"/>
      <color theme="10"/>
      <name val="Calibri"/>
      <family val="2"/>
    </font>
    <font>
      <sz val="11"/>
      <color theme="1"/>
      <name val="Arial"/>
      <family val="2"/>
    </font>
    <font>
      <b/>
      <sz val="11"/>
      <color theme="1"/>
      <name val="Arial"/>
      <family val="2"/>
    </font>
    <font>
      <b/>
      <sz val="20"/>
      <color theme="1"/>
      <name val="Arial"/>
      <family val="2"/>
    </font>
    <font>
      <sz val="10"/>
      <color theme="1"/>
      <name val="Arial"/>
      <family val="2"/>
    </font>
    <font>
      <b/>
      <sz val="14"/>
      <color theme="1"/>
      <name val="Arial"/>
      <family val="2"/>
    </font>
    <font>
      <b/>
      <sz val="9"/>
      <color indexed="81"/>
      <name val="Tahoma"/>
      <family val="2"/>
    </font>
    <font>
      <sz val="9"/>
      <color indexed="81"/>
      <name val="Tahoma"/>
      <family val="2"/>
    </font>
    <font>
      <u/>
      <sz val="11"/>
      <color theme="10"/>
      <name val="Calibri"/>
      <family val="2"/>
      <scheme val="minor"/>
    </font>
    <font>
      <sz val="11"/>
      <name val="Calibri"/>
      <family val="2"/>
      <scheme val="minor"/>
    </font>
    <font>
      <sz val="9"/>
      <color theme="1"/>
      <name val="Calibri"/>
      <family val="2"/>
      <scheme val="minor"/>
    </font>
    <font>
      <b/>
      <sz val="10"/>
      <color rgb="FF000000"/>
      <name val="Arial"/>
      <family val="2"/>
    </font>
    <font>
      <sz val="10"/>
      <color rgb="FF000000"/>
      <name val="Arial"/>
      <family val="2"/>
    </font>
    <font>
      <b/>
      <sz val="10"/>
      <color theme="1"/>
      <name val="Arial"/>
      <family val="2"/>
    </font>
    <font>
      <sz val="11"/>
      <color theme="1"/>
      <name val="Calibri"/>
      <family val="2"/>
    </font>
    <font>
      <sz val="11"/>
      <color rgb="FF000000"/>
      <name val="Calibri"/>
      <family val="2"/>
    </font>
    <font>
      <b/>
      <sz val="10"/>
      <color theme="1"/>
      <name val="Aptos"/>
      <family val="2"/>
    </font>
    <font>
      <b/>
      <sz val="11"/>
      <color rgb="FF000000"/>
      <name val="Calibri"/>
      <family val="2"/>
    </font>
    <font>
      <b/>
      <sz val="11"/>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8D8D8"/>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14" fillId="0" borderId="0" applyNumberFormat="0" applyFill="0" applyBorder="0" applyAlignment="0" applyProtection="0"/>
    <xf numFmtId="44" fontId="1" fillId="0" borderId="0" applyFont="0" applyFill="0" applyBorder="0" applyAlignment="0" applyProtection="0"/>
  </cellStyleXfs>
  <cellXfs count="152">
    <xf numFmtId="0" fontId="0" fillId="0" borderId="0" xfId="0"/>
    <xf numFmtId="0" fontId="3" fillId="2" borderId="1" xfId="0" applyFont="1" applyFill="1" applyBorder="1"/>
    <xf numFmtId="0" fontId="4" fillId="2" borderId="2" xfId="0" applyFont="1" applyFill="1" applyBorder="1"/>
    <xf numFmtId="0" fontId="5" fillId="2" borderId="2" xfId="0" applyFont="1" applyFill="1" applyBorder="1" applyAlignment="1">
      <alignment horizontal="right"/>
    </xf>
    <xf numFmtId="14" fontId="0" fillId="2" borderId="3" xfId="0" applyNumberFormat="1" applyFill="1" applyBorder="1"/>
    <xf numFmtId="0" fontId="6" fillId="0" borderId="0" xfId="2" applyAlignment="1" applyProtection="1"/>
    <xf numFmtId="0" fontId="7" fillId="0" borderId="0" xfId="0" applyFont="1"/>
    <xf numFmtId="0" fontId="0" fillId="3" borderId="0" xfId="0" applyFill="1"/>
    <xf numFmtId="0" fontId="8" fillId="4" borderId="0" xfId="0" applyFont="1" applyFill="1"/>
    <xf numFmtId="0" fontId="0" fillId="4" borderId="0" xfId="0" applyFill="1"/>
    <xf numFmtId="0" fontId="2" fillId="4" borderId="0" xfId="0" applyFont="1" applyFill="1" applyAlignment="1">
      <alignment horizontal="right"/>
    </xf>
    <xf numFmtId="0" fontId="2" fillId="0" borderId="0" xfId="0" applyFont="1"/>
    <xf numFmtId="0" fontId="2" fillId="0" borderId="0" xfId="0" applyFont="1" applyAlignment="1">
      <alignment horizontal="left"/>
    </xf>
    <xf numFmtId="0" fontId="7" fillId="0" borderId="4" xfId="0" applyFont="1" applyBorder="1" applyAlignment="1">
      <alignment horizontal="center"/>
    </xf>
    <xf numFmtId="0" fontId="0" fillId="0" borderId="4" xfId="0" applyBorder="1"/>
    <xf numFmtId="4" fontId="0" fillId="0" borderId="4" xfId="0" applyNumberFormat="1" applyBorder="1"/>
    <xf numFmtId="0" fontId="0" fillId="0" borderId="0" xfId="0" applyAlignment="1">
      <alignment horizontal="right"/>
    </xf>
    <xf numFmtId="4" fontId="0" fillId="0" borderId="0" xfId="0" applyNumberFormat="1"/>
    <xf numFmtId="3" fontId="0" fillId="0" borderId="0" xfId="0" applyNumberFormat="1"/>
    <xf numFmtId="9" fontId="0" fillId="0" borderId="0" xfId="0" applyNumberFormat="1"/>
    <xf numFmtId="4" fontId="0" fillId="4" borderId="0" xfId="0" applyNumberFormat="1" applyFill="1" applyAlignment="1">
      <alignment horizontal="right"/>
    </xf>
    <xf numFmtId="0" fontId="0" fillId="4" borderId="0" xfId="0" applyFill="1" applyAlignment="1">
      <alignment horizontal="right"/>
    </xf>
    <xf numFmtId="4" fontId="0" fillId="0" borderId="4" xfId="0" applyNumberFormat="1" applyBorder="1" applyAlignment="1">
      <alignment horizontal="right"/>
    </xf>
    <xf numFmtId="0" fontId="7" fillId="0" borderId="0" xfId="0" applyFont="1" applyAlignment="1">
      <alignment horizontal="center"/>
    </xf>
    <xf numFmtId="0" fontId="0" fillId="5" borderId="0" xfId="0" applyFill="1"/>
    <xf numFmtId="0" fontId="0" fillId="6" borderId="0" xfId="0" applyFill="1"/>
    <xf numFmtId="4" fontId="0" fillId="0" borderId="4" xfId="0" applyNumberFormat="1" applyBorder="1" applyAlignment="1">
      <alignment vertical="top"/>
    </xf>
    <xf numFmtId="0" fontId="14" fillId="0" borderId="0" xfId="3" applyAlignment="1" applyProtection="1"/>
    <xf numFmtId="10" fontId="0" fillId="0" borderId="0" xfId="0" applyNumberFormat="1"/>
    <xf numFmtId="4" fontId="7" fillId="0" borderId="4" xfId="0" applyNumberFormat="1" applyFont="1" applyBorder="1"/>
    <xf numFmtId="0" fontId="15" fillId="0" borderId="4" xfId="0" applyFont="1" applyBorder="1"/>
    <xf numFmtId="4" fontId="15" fillId="0" borderId="4" xfId="0" applyNumberFormat="1" applyFont="1" applyBorder="1"/>
    <xf numFmtId="0" fontId="0" fillId="0" borderId="0" xfId="0" applyAlignment="1">
      <alignment horizontal="left"/>
    </xf>
    <xf numFmtId="0" fontId="16" fillId="0" borderId="4" xfId="0" applyFont="1" applyBorder="1"/>
    <xf numFmtId="0" fontId="7" fillId="7" borderId="4" xfId="0" applyFont="1" applyFill="1" applyBorder="1"/>
    <xf numFmtId="0" fontId="7" fillId="6" borderId="4" xfId="0" applyFont="1" applyFill="1" applyBorder="1" applyAlignment="1">
      <alignment horizontal="right"/>
    </xf>
    <xf numFmtId="4" fontId="7" fillId="0" borderId="0" xfId="0" applyNumberFormat="1" applyFont="1"/>
    <xf numFmtId="0" fontId="0" fillId="0" borderId="5" xfId="0" applyBorder="1"/>
    <xf numFmtId="0" fontId="0" fillId="0" borderId="6" xfId="0" applyBorder="1"/>
    <xf numFmtId="0" fontId="0" fillId="0" borderId="7" xfId="0" applyBorder="1"/>
    <xf numFmtId="4" fontId="0" fillId="0" borderId="8" xfId="0" applyNumberFormat="1" applyBorder="1"/>
    <xf numFmtId="0" fontId="0" fillId="0" borderId="9" xfId="0" applyBorder="1"/>
    <xf numFmtId="4" fontId="0" fillId="0" borderId="10" xfId="0" applyNumberFormat="1" applyBorder="1"/>
    <xf numFmtId="0" fontId="0" fillId="0" borderId="11" xfId="0" applyBorder="1"/>
    <xf numFmtId="4" fontId="0" fillId="0" borderId="12" xfId="0" applyNumberFormat="1" applyBorder="1"/>
    <xf numFmtId="0" fontId="0" fillId="6" borderId="9" xfId="0" applyFill="1" applyBorder="1"/>
    <xf numFmtId="4" fontId="0" fillId="6" borderId="10" xfId="0" applyNumberFormat="1" applyFill="1" applyBorder="1"/>
    <xf numFmtId="0" fontId="6" fillId="0" borderId="11" xfId="2" applyBorder="1" applyAlignment="1" applyProtection="1"/>
    <xf numFmtId="0" fontId="8" fillId="7" borderId="4" xfId="0" applyFont="1" applyFill="1" applyBorder="1"/>
    <xf numFmtId="10" fontId="7" fillId="0" borderId="4" xfId="1" applyNumberFormat="1" applyFont="1" applyBorder="1"/>
    <xf numFmtId="9" fontId="15" fillId="0" borderId="4" xfId="0" applyNumberFormat="1" applyFont="1" applyBorder="1"/>
    <xf numFmtId="0" fontId="7" fillId="6" borderId="0" xfId="0" applyFont="1" applyFill="1" applyAlignment="1">
      <alignment horizontal="center"/>
    </xf>
    <xf numFmtId="0" fontId="15" fillId="6" borderId="0" xfId="0" applyFont="1" applyFill="1"/>
    <xf numFmtId="4" fontId="15" fillId="6" borderId="0" xfId="0" applyNumberFormat="1" applyFont="1" applyFill="1"/>
    <xf numFmtId="0" fontId="2" fillId="6" borderId="4" xfId="0" applyFont="1" applyFill="1" applyBorder="1"/>
    <xf numFmtId="4" fontId="2" fillId="6" borderId="4" xfId="0" applyNumberFormat="1" applyFont="1" applyFill="1" applyBorder="1"/>
    <xf numFmtId="0" fontId="2" fillId="7" borderId="4" xfId="0" applyFont="1" applyFill="1" applyBorder="1"/>
    <xf numFmtId="4" fontId="2" fillId="7" borderId="4" xfId="0" applyNumberFormat="1" applyFont="1" applyFill="1" applyBorder="1"/>
    <xf numFmtId="4" fontId="8" fillId="7" borderId="4" xfId="0" applyNumberFormat="1" applyFont="1" applyFill="1" applyBorder="1"/>
    <xf numFmtId="14" fontId="0" fillId="0" borderId="0" xfId="0" applyNumberFormat="1"/>
    <xf numFmtId="0" fontId="0" fillId="0" borderId="13" xfId="0" applyBorder="1"/>
    <xf numFmtId="0" fontId="0" fillId="0" borderId="14" xfId="0" applyBorder="1"/>
    <xf numFmtId="4" fontId="0" fillId="0" borderId="15" xfId="0" applyNumberFormat="1" applyBorder="1"/>
    <xf numFmtId="0" fontId="0" fillId="0" borderId="16" xfId="0" applyBorder="1"/>
    <xf numFmtId="4" fontId="0" fillId="0" borderId="17" xfId="0" applyNumberFormat="1" applyBorder="1"/>
    <xf numFmtId="0" fontId="0" fillId="0" borderId="18" xfId="0" applyBorder="1"/>
    <xf numFmtId="4" fontId="0" fillId="0" borderId="19" xfId="0" applyNumberFormat="1" applyBorder="1"/>
    <xf numFmtId="0" fontId="0" fillId="6" borderId="20" xfId="0" applyFill="1" applyBorder="1"/>
    <xf numFmtId="0" fontId="0" fillId="6" borderId="21" xfId="0" applyFill="1" applyBorder="1"/>
    <xf numFmtId="4" fontId="0" fillId="6" borderId="22" xfId="0" applyNumberFormat="1" applyFill="1" applyBorder="1"/>
    <xf numFmtId="0" fontId="8" fillId="7" borderId="0" xfId="0" applyFont="1" applyFill="1" applyAlignment="1">
      <alignment horizontal="center"/>
    </xf>
    <xf numFmtId="0" fontId="8" fillId="7" borderId="0" xfId="0" applyFont="1" applyFill="1"/>
    <xf numFmtId="4" fontId="8" fillId="7" borderId="0" xfId="0" applyNumberFormat="1" applyFont="1" applyFill="1"/>
    <xf numFmtId="0" fontId="8" fillId="7" borderId="23" xfId="0" applyFont="1" applyFill="1" applyBorder="1"/>
    <xf numFmtId="0" fontId="9" fillId="5" borderId="0" xfId="0" applyFont="1" applyFill="1" applyAlignment="1">
      <alignment vertical="top"/>
    </xf>
    <xf numFmtId="0" fontId="7" fillId="5" borderId="0" xfId="0" applyFont="1" applyFill="1" applyAlignment="1">
      <alignment horizontal="right" vertical="top" wrapText="1"/>
    </xf>
    <xf numFmtId="0" fontId="0" fillId="0" borderId="0" xfId="0" applyAlignment="1">
      <alignment vertical="top"/>
    </xf>
    <xf numFmtId="0" fontId="0" fillId="7" borderId="0" xfId="0" applyFill="1" applyAlignment="1">
      <alignment vertical="top"/>
    </xf>
    <xf numFmtId="0" fontId="0" fillId="0" borderId="4" xfId="0" applyBorder="1" applyAlignment="1">
      <alignment vertical="top"/>
    </xf>
    <xf numFmtId="0" fontId="17" fillId="8" borderId="24" xfId="0" applyFont="1" applyFill="1" applyBorder="1" applyAlignment="1">
      <alignment vertical="center"/>
    </xf>
    <xf numFmtId="0" fontId="17" fillId="8" borderId="25" xfId="0" applyFont="1" applyFill="1" applyBorder="1" applyAlignment="1">
      <alignment horizontal="right" vertical="center" wrapText="1"/>
    </xf>
    <xf numFmtId="0" fontId="18" fillId="0" borderId="27" xfId="0" applyFont="1" applyBorder="1" applyAlignment="1">
      <alignment vertical="center"/>
    </xf>
    <xf numFmtId="0" fontId="18" fillId="0" borderId="26" xfId="0" applyFont="1" applyBorder="1" applyAlignment="1">
      <alignment vertical="center"/>
    </xf>
    <xf numFmtId="0" fontId="18" fillId="0" borderId="12" xfId="0" applyFont="1" applyBorder="1" applyAlignment="1">
      <alignment horizontal="right" vertical="center" wrapText="1"/>
    </xf>
    <xf numFmtId="0" fontId="17" fillId="0" borderId="12" xfId="0" applyFont="1" applyBorder="1" applyAlignment="1">
      <alignment horizontal="right" vertical="center"/>
    </xf>
    <xf numFmtId="1" fontId="18" fillId="0" borderId="12" xfId="0" applyNumberFormat="1" applyFont="1" applyBorder="1" applyAlignment="1">
      <alignment horizontal="right" vertical="center"/>
    </xf>
    <xf numFmtId="164" fontId="18" fillId="0" borderId="12" xfId="0" applyNumberFormat="1" applyFont="1" applyBorder="1" applyAlignment="1">
      <alignment horizontal="right" vertical="center"/>
    </xf>
    <xf numFmtId="0" fontId="10" fillId="0" borderId="26" xfId="0" applyFont="1" applyBorder="1" applyAlignment="1">
      <alignment horizontal="justify" vertical="center" wrapText="1"/>
    </xf>
    <xf numFmtId="0" fontId="10" fillId="0" borderId="12" xfId="0" applyFont="1" applyBorder="1" applyAlignment="1">
      <alignment horizontal="justify" vertical="center" wrapText="1"/>
    </xf>
    <xf numFmtId="0" fontId="17" fillId="8" borderId="24" xfId="0" applyFont="1" applyFill="1" applyBorder="1" applyAlignment="1">
      <alignment vertical="center" wrapText="1"/>
    </xf>
    <xf numFmtId="165" fontId="10" fillId="0" borderId="12" xfId="0" applyNumberFormat="1" applyFont="1" applyBorder="1" applyAlignment="1">
      <alignment horizontal="justify" vertical="center" wrapText="1"/>
    </xf>
    <xf numFmtId="0" fontId="19" fillId="7" borderId="0" xfId="0" applyFont="1" applyFill="1"/>
    <xf numFmtId="2" fontId="10" fillId="0" borderId="12" xfId="0" applyNumberFormat="1" applyFont="1" applyBorder="1" applyAlignment="1">
      <alignment horizontal="right" vertical="center" wrapText="1"/>
    </xf>
    <xf numFmtId="0" fontId="10" fillId="0" borderId="12" xfId="0" applyFont="1" applyBorder="1" applyAlignment="1">
      <alignment horizontal="right" vertical="center" wrapText="1"/>
    </xf>
    <xf numFmtId="0" fontId="19" fillId="0" borderId="0" xfId="0" applyFont="1" applyAlignment="1">
      <alignment horizontal="justify" vertical="center"/>
    </xf>
    <xf numFmtId="0" fontId="10" fillId="0" borderId="0" xfId="0" applyFont="1" applyAlignment="1">
      <alignment horizontal="justify" vertical="center" wrapText="1"/>
    </xf>
    <xf numFmtId="0" fontId="10" fillId="0" borderId="0" xfId="0" applyFont="1" applyAlignment="1">
      <alignment horizontal="right" vertical="center" wrapText="1"/>
    </xf>
    <xf numFmtId="2" fontId="10" fillId="0" borderId="0" xfId="0" applyNumberFormat="1" applyFont="1" applyAlignment="1">
      <alignment horizontal="right" vertical="center" wrapText="1"/>
    </xf>
    <xf numFmtId="166" fontId="10" fillId="0" borderId="12" xfId="0" applyNumberFormat="1" applyFont="1" applyBorder="1" applyAlignment="1">
      <alignment horizontal="right" vertical="center" wrapText="1"/>
    </xf>
    <xf numFmtId="8" fontId="10" fillId="0" borderId="24" xfId="0" applyNumberFormat="1" applyFont="1" applyBorder="1" applyAlignment="1">
      <alignment horizontal="right" vertical="center" wrapText="1"/>
    </xf>
    <xf numFmtId="0" fontId="17" fillId="8" borderId="25" xfId="0" applyFont="1" applyFill="1" applyBorder="1" applyAlignment="1">
      <alignment vertical="center" wrapText="1"/>
    </xf>
    <xf numFmtId="6" fontId="0" fillId="0" borderId="0" xfId="0" applyNumberFormat="1"/>
    <xf numFmtId="0" fontId="17" fillId="0" borderId="0" xfId="0" applyFont="1" applyAlignment="1">
      <alignment horizontal="center" vertical="center"/>
    </xf>
    <xf numFmtId="0" fontId="17" fillId="0" borderId="0" xfId="0" applyFont="1" applyAlignment="1">
      <alignment horizontal="right" vertical="center"/>
    </xf>
    <xf numFmtId="6" fontId="17" fillId="0" borderId="0" xfId="0" applyNumberFormat="1" applyFont="1" applyAlignment="1">
      <alignment horizontal="right" vertical="center"/>
    </xf>
    <xf numFmtId="4" fontId="8" fillId="7" borderId="23" xfId="0" applyNumberFormat="1" applyFont="1" applyFill="1" applyBorder="1"/>
    <xf numFmtId="9" fontId="0" fillId="0" borderId="0" xfId="0" applyNumberFormat="1" applyAlignment="1">
      <alignment vertical="top"/>
    </xf>
    <xf numFmtId="44" fontId="0" fillId="0" borderId="0" xfId="4" applyFont="1"/>
    <xf numFmtId="0" fontId="11" fillId="3" borderId="0" xfId="0" applyFont="1" applyFill="1"/>
    <xf numFmtId="0" fontId="11" fillId="5" borderId="0" xfId="0" applyFont="1" applyFill="1"/>
    <xf numFmtId="4" fontId="21" fillId="0" borderId="24" xfId="0" applyNumberFormat="1" applyFont="1" applyBorder="1" applyAlignment="1">
      <alignment horizontal="right" vertical="center"/>
    </xf>
    <xf numFmtId="4" fontId="21" fillId="0" borderId="25" xfId="0" applyNumberFormat="1" applyFont="1" applyBorder="1" applyAlignment="1">
      <alignment horizontal="right" vertical="center"/>
    </xf>
    <xf numFmtId="4" fontId="21" fillId="0" borderId="12" xfId="0" applyNumberFormat="1" applyFont="1" applyBorder="1" applyAlignment="1">
      <alignment horizontal="right" vertical="center"/>
    </xf>
    <xf numFmtId="0" fontId="22" fillId="0" borderId="0" xfId="0" applyFont="1" applyAlignment="1">
      <alignment vertical="center"/>
    </xf>
    <xf numFmtId="10" fontId="21" fillId="0" borderId="25" xfId="0" applyNumberFormat="1" applyFont="1" applyBorder="1" applyAlignment="1">
      <alignment horizontal="center" vertical="center"/>
    </xf>
    <xf numFmtId="4" fontId="23" fillId="0" borderId="12" xfId="0" applyNumberFormat="1" applyFont="1" applyBorder="1" applyAlignment="1">
      <alignment horizontal="right" vertical="center"/>
    </xf>
    <xf numFmtId="4" fontId="21" fillId="0" borderId="24" xfId="0" applyNumberFormat="1" applyFont="1" applyBorder="1" applyAlignment="1">
      <alignment horizontal="left" vertical="center"/>
    </xf>
    <xf numFmtId="0" fontId="11" fillId="6" borderId="0" xfId="0" applyFont="1" applyFill="1"/>
    <xf numFmtId="0" fontId="17" fillId="8" borderId="25" xfId="0" applyFont="1" applyFill="1" applyBorder="1" applyAlignment="1">
      <alignment horizontal="right" vertical="center"/>
    </xf>
    <xf numFmtId="0" fontId="8" fillId="9" borderId="0" xfId="0" applyFont="1" applyFill="1" applyAlignment="1">
      <alignment horizontal="justify" vertical="center"/>
    </xf>
    <xf numFmtId="44" fontId="18" fillId="0" borderId="12" xfId="4" applyFont="1" applyBorder="1" applyAlignment="1">
      <alignment horizontal="right" vertical="center"/>
    </xf>
    <xf numFmtId="44" fontId="17" fillId="0" borderId="12" xfId="4" applyFont="1" applyBorder="1" applyAlignment="1">
      <alignment horizontal="right" vertical="center"/>
    </xf>
    <xf numFmtId="0" fontId="2" fillId="0" borderId="4" xfId="0" applyFont="1" applyBorder="1" applyAlignment="1">
      <alignment horizontal="right"/>
    </xf>
    <xf numFmtId="4" fontId="2" fillId="0" borderId="4" xfId="0" applyNumberFormat="1" applyFont="1" applyBorder="1"/>
    <xf numFmtId="4" fontId="20" fillId="0" borderId="12" xfId="0" applyNumberFormat="1" applyFont="1" applyBorder="1" applyAlignment="1">
      <alignment horizontal="right" vertical="center"/>
    </xf>
    <xf numFmtId="4" fontId="24" fillId="6" borderId="0" xfId="0" applyNumberFormat="1" applyFont="1" applyFill="1"/>
    <xf numFmtId="0" fontId="24" fillId="6" borderId="0" xfId="0" applyFont="1" applyFill="1"/>
    <xf numFmtId="0" fontId="2" fillId="7" borderId="4" xfId="0" applyFont="1" applyFill="1" applyBorder="1" applyAlignment="1">
      <alignment vertical="top"/>
    </xf>
    <xf numFmtId="0" fontId="2" fillId="7" borderId="4" xfId="0" applyFont="1" applyFill="1" applyBorder="1" applyAlignment="1">
      <alignment horizontal="right" vertical="top" wrapText="1"/>
    </xf>
    <xf numFmtId="0" fontId="8" fillId="7" borderId="4" xfId="0" applyFont="1" applyFill="1" applyBorder="1" applyAlignment="1">
      <alignment wrapText="1"/>
    </xf>
    <xf numFmtId="0" fontId="0" fillId="5" borderId="0" xfId="0" applyFill="1" applyAlignment="1">
      <alignment vertical="top"/>
    </xf>
    <xf numFmtId="9" fontId="0" fillId="5" borderId="0" xfId="0" applyNumberFormat="1" applyFill="1" applyAlignment="1">
      <alignment vertical="top"/>
    </xf>
    <xf numFmtId="167" fontId="0" fillId="0" borderId="4" xfId="0" applyNumberFormat="1" applyBorder="1" applyAlignment="1">
      <alignment vertical="top"/>
    </xf>
    <xf numFmtId="10" fontId="0" fillId="0" borderId="4" xfId="0" applyNumberFormat="1" applyBorder="1" applyAlignment="1">
      <alignment vertical="top"/>
    </xf>
    <xf numFmtId="44" fontId="18" fillId="0" borderId="28" xfId="4" applyFont="1" applyBorder="1" applyAlignment="1">
      <alignment horizontal="right" vertical="center"/>
    </xf>
    <xf numFmtId="44" fontId="18" fillId="0" borderId="26" xfId="4" applyFont="1" applyBorder="1" applyAlignment="1">
      <alignment horizontal="right" vertical="center"/>
    </xf>
    <xf numFmtId="0" fontId="18" fillId="0" borderId="28" xfId="0" applyFont="1" applyBorder="1" applyAlignment="1">
      <alignment horizontal="right" vertical="center" wrapText="1"/>
    </xf>
    <xf numFmtId="0" fontId="18" fillId="0" borderId="26" xfId="0" applyFont="1" applyBorder="1" applyAlignment="1">
      <alignment horizontal="right" vertical="center" wrapText="1"/>
    </xf>
    <xf numFmtId="1" fontId="18" fillId="0" borderId="28" xfId="0" applyNumberFormat="1" applyFont="1" applyBorder="1" applyAlignment="1">
      <alignment horizontal="right" vertical="center"/>
    </xf>
    <xf numFmtId="1" fontId="18" fillId="0" borderId="26" xfId="0" applyNumberFormat="1" applyFont="1" applyBorder="1" applyAlignment="1">
      <alignment horizontal="right" vertical="center"/>
    </xf>
    <xf numFmtId="164" fontId="18" fillId="0" borderId="28" xfId="0" applyNumberFormat="1" applyFont="1" applyBorder="1" applyAlignment="1">
      <alignment horizontal="right" vertical="center"/>
    </xf>
    <xf numFmtId="164" fontId="18" fillId="0" borderId="26" xfId="0" applyNumberFormat="1" applyFont="1" applyBorder="1" applyAlignment="1">
      <alignment horizontal="right" vertical="center"/>
    </xf>
    <xf numFmtId="4" fontId="11" fillId="5" borderId="0" xfId="0" applyNumberFormat="1" applyFont="1" applyFill="1" applyAlignment="1">
      <alignment horizontal="right"/>
    </xf>
    <xf numFmtId="4" fontId="7" fillId="0" borderId="1" xfId="0" applyNumberFormat="1" applyFont="1" applyBorder="1" applyAlignment="1">
      <alignment horizontal="center"/>
    </xf>
    <xf numFmtId="4" fontId="7" fillId="0" borderId="2" xfId="0" applyNumberFormat="1" applyFont="1" applyBorder="1" applyAlignment="1">
      <alignment horizontal="center"/>
    </xf>
    <xf numFmtId="4" fontId="7" fillId="0" borderId="3" xfId="0" applyNumberFormat="1" applyFont="1" applyBorder="1" applyAlignment="1">
      <alignment horizontal="center"/>
    </xf>
    <xf numFmtId="10" fontId="7" fillId="0" borderId="1" xfId="1" applyNumberFormat="1" applyFont="1" applyBorder="1" applyAlignment="1">
      <alignment horizontal="center"/>
    </xf>
    <xf numFmtId="10" fontId="7" fillId="0" borderId="2" xfId="1" applyNumberFormat="1" applyFont="1" applyBorder="1" applyAlignment="1">
      <alignment horizontal="center"/>
    </xf>
    <xf numFmtId="10" fontId="7" fillId="0" borderId="3" xfId="1" applyNumberFormat="1" applyFont="1" applyBorder="1" applyAlignment="1">
      <alignment horizont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25" xfId="0" applyFont="1" applyBorder="1" applyAlignment="1">
      <alignment horizontal="center" vertical="center"/>
    </xf>
  </cellXfs>
  <cellStyles count="5">
    <cellStyle name="Enllaç" xfId="3" builtinId="8"/>
    <cellStyle name="Hipervínculo 2" xfId="2" xr:uid="{EF22A3BF-36BC-4A86-95EE-E4E0E2CF3F45}"/>
    <cellStyle name="Moneda" xfId="4" builtinId="4"/>
    <cellStyle name="Normal" xfId="0" builtinId="0"/>
    <cellStyle name="Percentat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u.rubi.cat/documentPublic/download/3907" TargetMode="External"/><Relationship Id="rId7" Type="http://schemas.openxmlformats.org/officeDocument/2006/relationships/comments" Target="../comments1.xml"/><Relationship Id="rId2" Type="http://schemas.openxmlformats.org/officeDocument/2006/relationships/hyperlink" Target="https://www.boe.es/buscar/act.php?id=BOE-A-2019-2861" TargetMode="External"/><Relationship Id="rId1" Type="http://schemas.openxmlformats.org/officeDocument/2006/relationships/hyperlink" Target="https://seu.rubi.cat/contingutPublic/mostrarContingut/56"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eu.rubi.cat/documentPublic/download/38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3EC1B-408B-464F-8EA5-71EB17C15329}">
  <sheetPr>
    <pageSetUpPr fitToPage="1"/>
  </sheetPr>
  <dimension ref="B2:T176"/>
  <sheetViews>
    <sheetView tabSelected="1" topLeftCell="A19" zoomScaleNormal="100" workbookViewId="0">
      <selection activeCell="I14" sqref="I14"/>
    </sheetView>
  </sheetViews>
  <sheetFormatPr defaultColWidth="11.42578125" defaultRowHeight="15" x14ac:dyDescent="0.25"/>
  <cols>
    <col min="1" max="1" width="3.42578125" customWidth="1"/>
    <col min="2" max="2" width="6.140625" customWidth="1"/>
    <col min="3" max="3" width="55.140625" customWidth="1"/>
    <col min="4" max="4" width="17.140625" customWidth="1"/>
    <col min="5" max="5" width="19.5703125" customWidth="1"/>
    <col min="6" max="6" width="14.85546875" customWidth="1"/>
    <col min="7" max="7" width="14" customWidth="1"/>
    <col min="8" max="8" width="13" customWidth="1"/>
    <col min="9" max="9" width="12.7109375" customWidth="1"/>
    <col min="10" max="10" width="10" customWidth="1"/>
    <col min="11" max="11" width="10.140625" customWidth="1"/>
    <col min="12" max="12" width="13.85546875" customWidth="1"/>
  </cols>
  <sheetData>
    <row r="2" spans="2:19" ht="15.75" x14ac:dyDescent="0.25">
      <c r="B2" s="1" t="s">
        <v>53</v>
      </c>
      <c r="C2" s="2"/>
      <c r="D2" s="2"/>
      <c r="F2" s="3" t="s">
        <v>0</v>
      </c>
      <c r="G2" s="4">
        <v>46001</v>
      </c>
    </row>
    <row r="3" spans="2:19" x14ac:dyDescent="0.25">
      <c r="B3" s="27" t="s">
        <v>24</v>
      </c>
    </row>
    <row r="4" spans="2:19" x14ac:dyDescent="0.25">
      <c r="B4" t="s">
        <v>49</v>
      </c>
    </row>
    <row r="5" spans="2:19" x14ac:dyDescent="0.25">
      <c r="B5" s="5"/>
      <c r="J5" t="s">
        <v>50</v>
      </c>
    </row>
    <row r="6" spans="2:19" ht="18" x14ac:dyDescent="0.25">
      <c r="B6" s="117" t="s">
        <v>140</v>
      </c>
      <c r="C6" s="25"/>
    </row>
    <row r="7" spans="2:19" x14ac:dyDescent="0.25">
      <c r="B7" s="5"/>
    </row>
    <row r="8" spans="2:19" x14ac:dyDescent="0.25">
      <c r="B8" t="s">
        <v>21</v>
      </c>
      <c r="M8" t="s">
        <v>1</v>
      </c>
    </row>
    <row r="9" spans="2:19" x14ac:dyDescent="0.25">
      <c r="B9" s="8" t="s">
        <v>2</v>
      </c>
      <c r="C9" s="9"/>
      <c r="D9" s="21" t="s">
        <v>54</v>
      </c>
      <c r="E9" s="21" t="s">
        <v>55</v>
      </c>
      <c r="F9" s="10"/>
      <c r="G9" s="10" t="s">
        <v>4</v>
      </c>
      <c r="H9" s="11"/>
      <c r="I9" s="12" t="s">
        <v>5</v>
      </c>
      <c r="L9" t="s">
        <v>6</v>
      </c>
      <c r="M9" s="5" t="s">
        <v>7</v>
      </c>
      <c r="N9" s="5"/>
    </row>
    <row r="10" spans="2:19" x14ac:dyDescent="0.25">
      <c r="B10" s="13">
        <v>1</v>
      </c>
      <c r="C10" s="30" t="s">
        <v>22</v>
      </c>
      <c r="D10" s="31">
        <v>68066.73</v>
      </c>
      <c r="E10" s="50">
        <v>0.33</v>
      </c>
      <c r="F10" s="30"/>
      <c r="G10" s="31">
        <f>D10*E10</f>
        <v>22462.0209</v>
      </c>
      <c r="H10" s="16" t="s">
        <v>51</v>
      </c>
      <c r="I10" t="s">
        <v>164</v>
      </c>
      <c r="L10" s="17">
        <v>68066.73</v>
      </c>
      <c r="M10" s="18">
        <v>1642</v>
      </c>
      <c r="N10" t="s">
        <v>8</v>
      </c>
    </row>
    <row r="11" spans="2:19" ht="15.75" thickBot="1" x14ac:dyDescent="0.3">
      <c r="B11" s="13">
        <f>B10+1</f>
        <v>2</v>
      </c>
      <c r="C11" s="30" t="s">
        <v>23</v>
      </c>
      <c r="D11" s="124">
        <v>15788.92</v>
      </c>
      <c r="E11" s="50">
        <v>0.5</v>
      </c>
      <c r="F11" s="30"/>
      <c r="G11" s="31">
        <f>D11*E11</f>
        <v>7894.46</v>
      </c>
      <c r="H11" s="16" t="s">
        <v>9</v>
      </c>
      <c r="I11" t="s">
        <v>165</v>
      </c>
      <c r="L11" s="17">
        <v>15788.92</v>
      </c>
    </row>
    <row r="12" spans="2:19" x14ac:dyDescent="0.25">
      <c r="B12" s="13">
        <f>B11+1</f>
        <v>3</v>
      </c>
      <c r="C12" s="30" t="s">
        <v>56</v>
      </c>
      <c r="D12" s="31">
        <v>39819.81</v>
      </c>
      <c r="E12" s="50">
        <v>0.1</v>
      </c>
      <c r="F12" s="30"/>
      <c r="G12" s="31">
        <f>D12*E12</f>
        <v>3981.9809999999998</v>
      </c>
      <c r="H12" s="16"/>
      <c r="I12" t="s">
        <v>166</v>
      </c>
      <c r="L12" s="17"/>
    </row>
    <row r="13" spans="2:19" x14ac:dyDescent="0.25">
      <c r="B13" s="13">
        <f>B12+1</f>
        <v>4</v>
      </c>
      <c r="C13" s="30" t="s">
        <v>57</v>
      </c>
      <c r="D13" s="31">
        <v>59109.79</v>
      </c>
      <c r="E13" s="50">
        <v>0.1</v>
      </c>
      <c r="F13" s="30"/>
      <c r="G13" s="31">
        <f>D13*E13</f>
        <v>5910.9790000000003</v>
      </c>
      <c r="H13" s="16"/>
      <c r="I13" t="s">
        <v>167</v>
      </c>
      <c r="L13" s="17"/>
    </row>
    <row r="14" spans="2:19" x14ac:dyDescent="0.25">
      <c r="B14" s="51"/>
      <c r="C14" s="126" t="s">
        <v>13</v>
      </c>
      <c r="D14" s="53"/>
      <c r="E14" s="52"/>
      <c r="F14" s="52"/>
      <c r="G14" s="125">
        <f>SUM(G10:G13)</f>
        <v>40249.440899999994</v>
      </c>
      <c r="H14" s="16"/>
      <c r="L14" s="17"/>
    </row>
    <row r="15" spans="2:19" x14ac:dyDescent="0.25">
      <c r="D15" s="17"/>
      <c r="G15" s="17"/>
      <c r="H15" s="16"/>
      <c r="L15" s="17"/>
      <c r="S15" s="19">
        <v>0.21</v>
      </c>
    </row>
    <row r="16" spans="2:19" x14ac:dyDescent="0.25">
      <c r="B16" s="8" t="s">
        <v>58</v>
      </c>
      <c r="C16" s="9"/>
      <c r="D16" s="10" t="s">
        <v>4</v>
      </c>
      <c r="E16" s="21"/>
      <c r="F16" s="10"/>
      <c r="G16" s="10" t="s">
        <v>4</v>
      </c>
      <c r="H16" s="16"/>
      <c r="L16" s="17"/>
      <c r="S16" s="19"/>
    </row>
    <row r="17" spans="2:19" x14ac:dyDescent="0.25">
      <c r="B17" s="13">
        <v>1</v>
      </c>
      <c r="C17" s="14" t="s">
        <v>59</v>
      </c>
      <c r="D17" s="15">
        <v>16500</v>
      </c>
      <c r="E17" s="14"/>
      <c r="F17" s="14"/>
      <c r="G17" s="15"/>
      <c r="H17" s="16"/>
      <c r="L17" s="17"/>
      <c r="S17" s="19"/>
    </row>
    <row r="18" spans="2:19" x14ac:dyDescent="0.25">
      <c r="B18" s="13">
        <f>B17+1</f>
        <v>2</v>
      </c>
      <c r="C18" s="14" t="s">
        <v>60</v>
      </c>
      <c r="D18" s="15">
        <v>4000</v>
      </c>
      <c r="E18" s="14"/>
      <c r="F18" s="14"/>
      <c r="G18" s="15"/>
      <c r="H18" s="16"/>
      <c r="L18" s="17"/>
      <c r="S18" s="19"/>
    </row>
    <row r="19" spans="2:19" x14ac:dyDescent="0.25">
      <c r="B19" s="13">
        <f>B18+1</f>
        <v>3</v>
      </c>
      <c r="C19" s="14" t="s">
        <v>61</v>
      </c>
      <c r="D19" s="15">
        <v>500</v>
      </c>
      <c r="E19" s="14"/>
      <c r="F19" s="14"/>
      <c r="G19" s="15"/>
      <c r="H19" s="16"/>
      <c r="L19" s="17"/>
      <c r="S19" s="19"/>
    </row>
    <row r="20" spans="2:19" x14ac:dyDescent="0.25">
      <c r="B20" s="13">
        <f>B19+1</f>
        <v>4</v>
      </c>
      <c r="C20" s="14" t="s">
        <v>62</v>
      </c>
      <c r="D20" s="15">
        <v>3500</v>
      </c>
      <c r="E20" s="14"/>
      <c r="F20" s="14"/>
      <c r="G20" s="15"/>
      <c r="H20" s="16"/>
      <c r="L20" s="17"/>
      <c r="S20" s="19"/>
    </row>
    <row r="21" spans="2:19" x14ac:dyDescent="0.25">
      <c r="B21" s="13">
        <f>B20+1</f>
        <v>5</v>
      </c>
      <c r="C21" s="14" t="s">
        <v>63</v>
      </c>
      <c r="D21" s="15">
        <v>2000</v>
      </c>
      <c r="E21" s="14"/>
      <c r="F21" s="14"/>
      <c r="G21" s="15"/>
      <c r="H21" s="16"/>
      <c r="L21" s="17"/>
      <c r="S21" s="19"/>
    </row>
    <row r="22" spans="2:19" ht="15.75" thickBot="1" x14ac:dyDescent="0.3">
      <c r="B22" s="13"/>
      <c r="C22" s="54" t="s">
        <v>64</v>
      </c>
      <c r="D22" s="55">
        <f>SUM(D17:D21)</f>
        <v>26500</v>
      </c>
      <c r="E22" s="14"/>
      <c r="F22" s="14"/>
      <c r="G22" s="15"/>
      <c r="H22" s="16"/>
      <c r="L22" s="17"/>
      <c r="S22" s="19"/>
    </row>
    <row r="23" spans="2:19" x14ac:dyDescent="0.25">
      <c r="B23" s="13"/>
      <c r="C23" s="14"/>
      <c r="D23" s="15"/>
      <c r="E23" s="14"/>
      <c r="F23" s="14"/>
      <c r="G23" s="15"/>
      <c r="H23" s="16"/>
      <c r="L23" s="17"/>
      <c r="M23" s="38" t="s">
        <v>44</v>
      </c>
      <c r="N23" s="39"/>
      <c r="O23" s="40">
        <v>8360.5499999999993</v>
      </c>
      <c r="S23" s="19"/>
    </row>
    <row r="24" spans="2:19" x14ac:dyDescent="0.25">
      <c r="B24" s="8" t="s">
        <v>65</v>
      </c>
      <c r="C24" s="9"/>
      <c r="D24" s="10" t="s">
        <v>4</v>
      </c>
      <c r="E24" s="21"/>
      <c r="F24" s="10"/>
      <c r="G24" s="10" t="s">
        <v>4</v>
      </c>
      <c r="H24" s="16"/>
      <c r="L24" s="17"/>
      <c r="M24" s="41" t="s">
        <v>45</v>
      </c>
      <c r="O24" s="42">
        <f>O23*5.5%</f>
        <v>459.83024999999998</v>
      </c>
      <c r="S24" s="19"/>
    </row>
    <row r="25" spans="2:19" ht="15.75" thickBot="1" x14ac:dyDescent="0.3">
      <c r="B25" s="13">
        <f>B21+1</f>
        <v>6</v>
      </c>
      <c r="C25" s="14" t="s">
        <v>66</v>
      </c>
      <c r="D25" s="15">
        <v>1000</v>
      </c>
      <c r="E25" s="14"/>
      <c r="F25" s="14"/>
      <c r="G25" s="15"/>
      <c r="H25" s="16"/>
      <c r="L25" s="17"/>
      <c r="M25" s="43" t="s">
        <v>74</v>
      </c>
      <c r="N25" s="37"/>
      <c r="O25" s="44">
        <f>O23*1.8%</f>
        <v>150.48990000000001</v>
      </c>
      <c r="S25" s="19"/>
    </row>
    <row r="26" spans="2:19" x14ac:dyDescent="0.25">
      <c r="B26" s="13">
        <f>B25+1</f>
        <v>7</v>
      </c>
      <c r="C26" s="14" t="s">
        <v>67</v>
      </c>
      <c r="D26" s="15">
        <v>28000</v>
      </c>
      <c r="E26" s="14"/>
      <c r="F26" s="14"/>
      <c r="G26" s="15"/>
      <c r="H26" s="16"/>
      <c r="L26" s="17"/>
      <c r="M26" s="41" t="s">
        <v>47</v>
      </c>
      <c r="O26" s="42">
        <f>SUM(O23:O25)</f>
        <v>8970.8701499999988</v>
      </c>
      <c r="S26" s="19"/>
    </row>
    <row r="27" spans="2:19" ht="15.75" thickBot="1" x14ac:dyDescent="0.3">
      <c r="B27" s="13"/>
      <c r="C27" s="54" t="s">
        <v>64</v>
      </c>
      <c r="D27" s="55">
        <f>SUM(D25:D26)</f>
        <v>29000</v>
      </c>
      <c r="E27" s="14"/>
      <c r="F27" s="14"/>
      <c r="G27" s="15"/>
      <c r="H27" s="16"/>
      <c r="L27" s="17"/>
      <c r="M27" s="43" t="s">
        <v>46</v>
      </c>
      <c r="N27" s="37"/>
      <c r="O27" s="44">
        <f>O26*21%</f>
        <v>1883.8827314999996</v>
      </c>
      <c r="S27" s="19"/>
    </row>
    <row r="28" spans="2:19" x14ac:dyDescent="0.25">
      <c r="B28" s="13"/>
      <c r="C28" s="14"/>
      <c r="D28" s="15"/>
      <c r="E28" s="14"/>
      <c r="F28" s="14"/>
      <c r="G28" s="15"/>
      <c r="H28" s="16"/>
      <c r="L28" s="17"/>
      <c r="M28" s="45" t="s">
        <v>13</v>
      </c>
      <c r="N28" s="25"/>
      <c r="O28" s="46">
        <f>SUM(O26:O27)</f>
        <v>10854.752881499999</v>
      </c>
      <c r="S28" s="19"/>
    </row>
    <row r="29" spans="2:19" ht="15.75" thickBot="1" x14ac:dyDescent="0.3">
      <c r="B29" s="13"/>
      <c r="C29" s="48" t="s">
        <v>68</v>
      </c>
      <c r="D29" s="58">
        <f>D27+D22</f>
        <v>55500</v>
      </c>
      <c r="E29" s="14"/>
      <c r="F29" s="14"/>
      <c r="G29" s="15"/>
      <c r="H29" s="16"/>
      <c r="L29" s="17"/>
      <c r="M29" s="47"/>
      <c r="N29" s="37"/>
      <c r="O29" s="44">
        <f>O28/220</f>
        <v>49.339785824999993</v>
      </c>
      <c r="P29" t="s">
        <v>48</v>
      </c>
      <c r="S29" s="19"/>
    </row>
    <row r="30" spans="2:19" x14ac:dyDescent="0.25">
      <c r="D30" s="17"/>
      <c r="G30" s="17"/>
      <c r="H30" s="16"/>
      <c r="L30" s="17"/>
      <c r="S30" s="19"/>
    </row>
    <row r="31" spans="2:19" x14ac:dyDescent="0.25">
      <c r="D31" s="17"/>
      <c r="G31" s="17"/>
      <c r="H31" s="16"/>
      <c r="L31" s="17"/>
      <c r="S31" s="19"/>
    </row>
    <row r="32" spans="2:19" x14ac:dyDescent="0.25">
      <c r="D32" s="17"/>
      <c r="G32" s="17"/>
      <c r="H32" s="16" t="s">
        <v>70</v>
      </c>
      <c r="I32" t="s">
        <v>71</v>
      </c>
      <c r="J32" s="17">
        <v>8360.56</v>
      </c>
      <c r="K32" s="17">
        <f>(J32*K33)/J33</f>
        <v>22604.477037037035</v>
      </c>
      <c r="L32" s="17"/>
      <c r="M32" s="60" t="s">
        <v>72</v>
      </c>
      <c r="N32" s="61"/>
      <c r="O32" s="62">
        <f>K32</f>
        <v>22604.477037037035</v>
      </c>
      <c r="S32" s="19">
        <v>0.21</v>
      </c>
    </row>
    <row r="33" spans="2:20" x14ac:dyDescent="0.25">
      <c r="B33" s="8" t="s">
        <v>10</v>
      </c>
      <c r="C33" s="9"/>
      <c r="D33" s="20" t="s">
        <v>73</v>
      </c>
      <c r="E33" s="10" t="s">
        <v>3</v>
      </c>
      <c r="F33" s="21" t="s">
        <v>75</v>
      </c>
      <c r="G33" s="21" t="s">
        <v>92</v>
      </c>
      <c r="H33" s="59">
        <v>46023</v>
      </c>
      <c r="I33" s="59">
        <v>46157</v>
      </c>
      <c r="J33">
        <f>I33-H33+1</f>
        <v>135</v>
      </c>
      <c r="K33">
        <v>365</v>
      </c>
      <c r="M33" s="63" t="s">
        <v>45</v>
      </c>
      <c r="O33" s="64">
        <f>O32*5.5%</f>
        <v>1243.246237037037</v>
      </c>
      <c r="R33" s="16" t="s">
        <v>11</v>
      </c>
      <c r="S33" s="16" t="s">
        <v>12</v>
      </c>
      <c r="T33" s="16" t="s">
        <v>13</v>
      </c>
    </row>
    <row r="34" spans="2:20" ht="15.75" thickBot="1" x14ac:dyDescent="0.3">
      <c r="B34" s="13">
        <v>1</v>
      </c>
      <c r="C34" s="14" t="s">
        <v>69</v>
      </c>
      <c r="D34" s="15">
        <f>O37</f>
        <v>29348.070671496294</v>
      </c>
      <c r="E34" s="14">
        <v>1</v>
      </c>
      <c r="F34" s="33"/>
      <c r="G34" s="15">
        <f>D34*E34</f>
        <v>29348.070671496294</v>
      </c>
      <c r="H34" t="s">
        <v>52</v>
      </c>
      <c r="M34" s="65" t="s">
        <v>74</v>
      </c>
      <c r="N34" s="37"/>
      <c r="O34" s="66">
        <f>O32*1.8%</f>
        <v>406.88058666666666</v>
      </c>
      <c r="R34">
        <v>13.81</v>
      </c>
      <c r="S34" s="17">
        <f>R34*S15</f>
        <v>2.9001000000000001</v>
      </c>
      <c r="T34" s="17">
        <f>SUM(R34:S34)</f>
        <v>16.710100000000001</v>
      </c>
    </row>
    <row r="35" spans="2:20" x14ac:dyDescent="0.25">
      <c r="B35" s="13">
        <f>B34+1</f>
        <v>2</v>
      </c>
      <c r="C35" s="14" t="s">
        <v>25</v>
      </c>
      <c r="D35" s="15">
        <v>28</v>
      </c>
      <c r="E35" s="14">
        <v>16</v>
      </c>
      <c r="F35" s="14">
        <v>40</v>
      </c>
      <c r="G35" s="15">
        <f>D35*E35*F35</f>
        <v>17920</v>
      </c>
      <c r="H35" s="32" t="s">
        <v>33</v>
      </c>
      <c r="I35" s="16" t="s">
        <v>34</v>
      </c>
      <c r="M35" s="63" t="s">
        <v>47</v>
      </c>
      <c r="O35" s="64">
        <f>SUM(O32:O34)</f>
        <v>24254.603860740739</v>
      </c>
    </row>
    <row r="36" spans="2:20" ht="15.75" thickBot="1" x14ac:dyDescent="0.3">
      <c r="B36" s="13">
        <f t="shared" ref="B36" si="0">B35+1</f>
        <v>3</v>
      </c>
      <c r="C36" s="14" t="s">
        <v>26</v>
      </c>
      <c r="D36" s="15">
        <v>25</v>
      </c>
      <c r="E36" s="14">
        <v>16</v>
      </c>
      <c r="F36" s="14">
        <v>40</v>
      </c>
      <c r="G36" s="15">
        <f>D36*E36*F36</f>
        <v>16000</v>
      </c>
      <c r="H36" s="16" t="s">
        <v>32</v>
      </c>
      <c r="I36">
        <v>16</v>
      </c>
      <c r="M36" s="65" t="s">
        <v>46</v>
      </c>
      <c r="N36" s="37"/>
      <c r="O36" s="66">
        <f>O35*21%</f>
        <v>5093.4668107555553</v>
      </c>
    </row>
    <row r="37" spans="2:20" x14ac:dyDescent="0.25">
      <c r="B37" s="13">
        <f>B36+1</f>
        <v>4</v>
      </c>
      <c r="C37" s="14" t="s">
        <v>35</v>
      </c>
      <c r="D37" s="15">
        <v>250</v>
      </c>
      <c r="E37" s="14">
        <v>1</v>
      </c>
      <c r="F37" s="14">
        <v>40</v>
      </c>
      <c r="G37" s="15">
        <f>D37*E37*F37</f>
        <v>10000</v>
      </c>
      <c r="H37" t="s">
        <v>27</v>
      </c>
      <c r="M37" s="67" t="s">
        <v>13</v>
      </c>
      <c r="N37" s="68"/>
      <c r="O37" s="69">
        <f>SUM(O35:O36)</f>
        <v>29348.070671496294</v>
      </c>
    </row>
    <row r="38" spans="2:20" x14ac:dyDescent="0.25">
      <c r="B38" s="13"/>
      <c r="C38" s="14"/>
      <c r="D38" s="15"/>
      <c r="E38" s="14"/>
      <c r="F38" s="22"/>
      <c r="G38" s="15"/>
    </row>
    <row r="39" spans="2:20" x14ac:dyDescent="0.25">
      <c r="B39" s="23"/>
      <c r="D39" s="17"/>
      <c r="G39" s="17"/>
    </row>
    <row r="40" spans="2:20" x14ac:dyDescent="0.25">
      <c r="B40" s="70"/>
      <c r="C40" s="71" t="s">
        <v>76</v>
      </c>
      <c r="D40" s="72"/>
      <c r="E40" s="71"/>
      <c r="F40" s="71"/>
      <c r="G40" s="72">
        <f>SUM(G34:G39)</f>
        <v>73268.070671496302</v>
      </c>
    </row>
    <row r="42" spans="2:20" x14ac:dyDescent="0.25">
      <c r="G42" s="17"/>
    </row>
    <row r="43" spans="2:20" x14ac:dyDescent="0.25">
      <c r="B43" s="25"/>
      <c r="C43" s="25" t="s">
        <v>80</v>
      </c>
      <c r="D43" s="25"/>
      <c r="G43" s="17"/>
    </row>
    <row r="44" spans="2:20" x14ac:dyDescent="0.25">
      <c r="B44" s="13">
        <v>1</v>
      </c>
      <c r="C44" s="14" t="s">
        <v>79</v>
      </c>
      <c r="D44" s="15">
        <f>G14</f>
        <v>40249.440899999994</v>
      </c>
      <c r="G44" s="17"/>
    </row>
    <row r="45" spans="2:20" x14ac:dyDescent="0.25">
      <c r="B45" s="13">
        <f>B44+1</f>
        <v>2</v>
      </c>
      <c r="C45" s="14" t="s">
        <v>78</v>
      </c>
      <c r="D45" s="15">
        <f>D29</f>
        <v>55500</v>
      </c>
      <c r="G45" s="17"/>
    </row>
    <row r="46" spans="2:20" x14ac:dyDescent="0.25">
      <c r="B46" s="13">
        <f t="shared" ref="B46" si="1">B45+1</f>
        <v>3</v>
      </c>
      <c r="C46" s="14" t="s">
        <v>77</v>
      </c>
      <c r="D46" s="15">
        <f>G40</f>
        <v>73268.070671496302</v>
      </c>
      <c r="G46" s="17"/>
    </row>
    <row r="47" spans="2:20" x14ac:dyDescent="0.25">
      <c r="B47" s="56"/>
      <c r="C47" s="56" t="s">
        <v>4</v>
      </c>
      <c r="D47" s="57">
        <f>SUM(D44:D46)</f>
        <v>169017.51157149629</v>
      </c>
      <c r="G47" s="17"/>
    </row>
    <row r="48" spans="2:20" x14ac:dyDescent="0.25">
      <c r="G48" s="17"/>
    </row>
    <row r="49" spans="2:13" ht="18" x14ac:dyDescent="0.25">
      <c r="B49" s="109" t="s">
        <v>141</v>
      </c>
      <c r="C49" s="24"/>
      <c r="D49" s="24"/>
      <c r="E49" s="24"/>
      <c r="F49" s="142">
        <f>D29+G40+G14</f>
        <v>169017.51157149629</v>
      </c>
      <c r="G49" s="142"/>
    </row>
    <row r="50" spans="2:13" x14ac:dyDescent="0.25">
      <c r="G50" s="17"/>
    </row>
    <row r="51" spans="2:13" x14ac:dyDescent="0.25">
      <c r="G51" s="17"/>
    </row>
    <row r="52" spans="2:13" ht="18" x14ac:dyDescent="0.25">
      <c r="B52" s="108" t="s">
        <v>142</v>
      </c>
      <c r="C52" s="7"/>
      <c r="D52" s="7"/>
      <c r="E52" s="7"/>
      <c r="F52" s="7"/>
      <c r="G52" s="7"/>
    </row>
    <row r="54" spans="2:13" x14ac:dyDescent="0.25">
      <c r="B54" s="8" t="s">
        <v>28</v>
      </c>
      <c r="C54" s="9"/>
      <c r="D54" s="20" t="s">
        <v>36</v>
      </c>
      <c r="E54" s="21" t="s">
        <v>85</v>
      </c>
      <c r="F54" s="21" t="s">
        <v>4</v>
      </c>
    </row>
    <row r="55" spans="2:13" x14ac:dyDescent="0.25">
      <c r="B55" s="13">
        <v>1</v>
      </c>
      <c r="C55" s="14" t="s">
        <v>82</v>
      </c>
      <c r="D55" s="15">
        <v>1250</v>
      </c>
      <c r="E55" s="14">
        <v>10</v>
      </c>
      <c r="F55" s="15">
        <f t="shared" ref="F55:F60" si="2">D55*E55</f>
        <v>12500</v>
      </c>
      <c r="M55" s="5" t="s">
        <v>15</v>
      </c>
    </row>
    <row r="56" spans="2:13" x14ac:dyDescent="0.25">
      <c r="B56" s="13">
        <f>B55+1</f>
        <v>2</v>
      </c>
      <c r="C56" s="14" t="s">
        <v>83</v>
      </c>
      <c r="D56" s="15">
        <v>4250</v>
      </c>
      <c r="E56" s="14">
        <v>10</v>
      </c>
      <c r="F56" s="15">
        <f t="shared" si="2"/>
        <v>42500</v>
      </c>
      <c r="M56" s="5" t="s">
        <v>16</v>
      </c>
    </row>
    <row r="57" spans="2:13" x14ac:dyDescent="0.25">
      <c r="B57" s="13">
        <f>B56+1</f>
        <v>3</v>
      </c>
      <c r="C57" s="14" t="s">
        <v>84</v>
      </c>
      <c r="D57" s="15">
        <v>8000</v>
      </c>
      <c r="E57" s="14">
        <v>5</v>
      </c>
      <c r="F57" s="15">
        <f t="shared" si="2"/>
        <v>40000</v>
      </c>
    </row>
    <row r="58" spans="2:13" x14ac:dyDescent="0.25">
      <c r="B58" s="13">
        <f>B57+1</f>
        <v>4</v>
      </c>
      <c r="C58" s="14" t="s">
        <v>90</v>
      </c>
      <c r="D58" s="15">
        <v>10000</v>
      </c>
      <c r="E58" s="14">
        <v>5</v>
      </c>
      <c r="F58" s="15">
        <f t="shared" si="2"/>
        <v>50000</v>
      </c>
    </row>
    <row r="59" spans="2:13" x14ac:dyDescent="0.25">
      <c r="B59" s="13">
        <f>B58+1</f>
        <v>5</v>
      </c>
      <c r="C59" s="78" t="s">
        <v>93</v>
      </c>
      <c r="D59" s="15">
        <v>1250</v>
      </c>
      <c r="E59" s="14">
        <v>5</v>
      </c>
      <c r="F59" s="15">
        <f t="shared" si="2"/>
        <v>6250</v>
      </c>
    </row>
    <row r="60" spans="2:13" x14ac:dyDescent="0.25">
      <c r="B60" s="13">
        <f>B59+1</f>
        <v>6</v>
      </c>
      <c r="C60" s="14" t="s">
        <v>29</v>
      </c>
      <c r="D60" s="15">
        <v>1000</v>
      </c>
      <c r="E60" s="14">
        <v>5</v>
      </c>
      <c r="F60" s="15">
        <f t="shared" si="2"/>
        <v>5000</v>
      </c>
    </row>
    <row r="61" spans="2:13" x14ac:dyDescent="0.25">
      <c r="B61" s="70"/>
      <c r="C61" s="73" t="s">
        <v>81</v>
      </c>
      <c r="D61" s="72"/>
      <c r="E61" s="71">
        <f>SUM(E55:E60)</f>
        <v>40</v>
      </c>
      <c r="F61" s="72">
        <f>SUM(F55:F60)</f>
        <v>156250</v>
      </c>
    </row>
    <row r="64" spans="2:13" x14ac:dyDescent="0.25">
      <c r="B64" s="8" t="s">
        <v>132</v>
      </c>
      <c r="C64" s="9"/>
    </row>
    <row r="65" spans="2:8" x14ac:dyDescent="0.25">
      <c r="B65" s="14">
        <v>1</v>
      </c>
      <c r="C65" s="14" t="s">
        <v>129</v>
      </c>
      <c r="D65" s="15">
        <f>F49</f>
        <v>169017.51157149629</v>
      </c>
    </row>
    <row r="66" spans="2:8" x14ac:dyDescent="0.25">
      <c r="B66" s="14">
        <v>2</v>
      </c>
      <c r="C66" s="14" t="s">
        <v>131</v>
      </c>
      <c r="D66" s="15">
        <f>F61</f>
        <v>156250</v>
      </c>
    </row>
    <row r="67" spans="2:8" x14ac:dyDescent="0.25">
      <c r="B67" s="73"/>
      <c r="C67" s="73" t="s">
        <v>130</v>
      </c>
      <c r="D67" s="105">
        <f>SUM(D65:D66)</f>
        <v>325267.51157149626</v>
      </c>
    </row>
    <row r="70" spans="2:8" ht="26.25" x14ac:dyDescent="0.25">
      <c r="B70" s="74" t="s">
        <v>143</v>
      </c>
      <c r="C70" s="74"/>
    </row>
    <row r="71" spans="2:8" x14ac:dyDescent="0.25">
      <c r="C71" s="113" t="s">
        <v>159</v>
      </c>
    </row>
    <row r="72" spans="2:8" ht="15.75" thickBot="1" x14ac:dyDescent="0.3"/>
    <row r="73" spans="2:8" ht="15.75" thickBot="1" x14ac:dyDescent="0.3">
      <c r="C73" s="116" t="s">
        <v>144</v>
      </c>
      <c r="D73" s="111">
        <v>13926116.5</v>
      </c>
      <c r="E73" s="114">
        <v>1.1000000000000001E-3</v>
      </c>
      <c r="F73" s="111">
        <v>15318.73</v>
      </c>
    </row>
    <row r="74" spans="2:8" ht="15.75" thickBot="1" x14ac:dyDescent="0.3">
      <c r="C74" s="116" t="s">
        <v>145</v>
      </c>
      <c r="D74" s="112">
        <v>6281794.1600000001</v>
      </c>
      <c r="E74" s="114">
        <v>1.1000000000000001E-3</v>
      </c>
      <c r="F74" s="112">
        <v>6909.97</v>
      </c>
    </row>
    <row r="75" spans="2:8" ht="15.75" thickBot="1" x14ac:dyDescent="0.3">
      <c r="C75" s="116" t="s">
        <v>146</v>
      </c>
      <c r="D75" s="112">
        <v>914723.61</v>
      </c>
      <c r="E75" s="114">
        <v>1.1000000000000001E-3</v>
      </c>
      <c r="F75" s="112">
        <v>1006.2</v>
      </c>
    </row>
    <row r="76" spans="2:8" ht="15.75" thickBot="1" x14ac:dyDescent="0.3">
      <c r="C76" s="116" t="s">
        <v>147</v>
      </c>
      <c r="D76" s="112">
        <v>5712663.6200000001</v>
      </c>
      <c r="E76" s="114">
        <v>1.1000000000000001E-3</v>
      </c>
      <c r="F76" s="112">
        <v>6283.93</v>
      </c>
    </row>
    <row r="77" spans="2:8" ht="15.75" thickBot="1" x14ac:dyDescent="0.3">
      <c r="C77" s="110" t="s">
        <v>148</v>
      </c>
      <c r="D77" s="112">
        <v>26835297.890000001</v>
      </c>
      <c r="E77" s="114">
        <v>1.1000000000000001E-3</v>
      </c>
      <c r="F77" s="115">
        <v>29518.83</v>
      </c>
    </row>
    <row r="79" spans="2:8" x14ac:dyDescent="0.25">
      <c r="E79" s="28"/>
      <c r="G79">
        <v>40</v>
      </c>
      <c r="H79" t="s">
        <v>149</v>
      </c>
    </row>
    <row r="80" spans="2:8" s="76" customFormat="1" ht="26.25" x14ac:dyDescent="0.25">
      <c r="B80" s="74" t="s">
        <v>118</v>
      </c>
      <c r="C80" s="74"/>
      <c r="D80" s="74"/>
      <c r="E80" s="74"/>
      <c r="F80" s="74"/>
      <c r="G80" s="75"/>
    </row>
    <row r="81" spans="2:10" s="76" customFormat="1" ht="30" x14ac:dyDescent="0.25">
      <c r="B81" s="77"/>
      <c r="C81" s="127" t="s">
        <v>156</v>
      </c>
      <c r="D81" s="128" t="s">
        <v>119</v>
      </c>
      <c r="E81" s="128" t="s">
        <v>14</v>
      </c>
      <c r="F81" s="128" t="s">
        <v>120</v>
      </c>
      <c r="G81" s="128" t="s">
        <v>154</v>
      </c>
      <c r="H81" s="128" t="s">
        <v>158</v>
      </c>
      <c r="I81" s="128" t="s">
        <v>37</v>
      </c>
      <c r="J81" s="128" t="s">
        <v>157</v>
      </c>
    </row>
    <row r="82" spans="2:10" s="76" customFormat="1" x14ac:dyDescent="0.25">
      <c r="B82" s="78" t="s">
        <v>17</v>
      </c>
      <c r="C82" s="78" t="s">
        <v>82</v>
      </c>
      <c r="D82" s="26">
        <f t="shared" ref="D82:D87" si="3">((D$47/G$79)*G82)+F55</f>
        <v>54754.377892874072</v>
      </c>
      <c r="E82" s="26">
        <f>(F77/40)*G82</f>
        <v>7379.7075000000004</v>
      </c>
      <c r="F82" s="26">
        <f t="shared" ref="F82:F88" si="4">SUM(D82:E82)</f>
        <v>62134.085392874069</v>
      </c>
      <c r="G82" s="78">
        <f t="shared" ref="G82:G87" si="5">E55</f>
        <v>10</v>
      </c>
      <c r="H82" s="26">
        <f t="shared" ref="H82:H87" si="6">(F82)/G82</f>
        <v>6213.4085392874067</v>
      </c>
      <c r="I82" s="78">
        <v>330</v>
      </c>
      <c r="J82" s="26">
        <f t="shared" ref="J82:J87" si="7">H82/I82</f>
        <v>18.828510725113354</v>
      </c>
    </row>
    <row r="83" spans="2:10" s="76" customFormat="1" x14ac:dyDescent="0.25">
      <c r="B83" s="78" t="s">
        <v>18</v>
      </c>
      <c r="C83" s="78" t="s">
        <v>83</v>
      </c>
      <c r="D83" s="26">
        <f t="shared" si="3"/>
        <v>84754.377892874065</v>
      </c>
      <c r="E83" s="26">
        <f>(F77/40)*G83</f>
        <v>7379.7075000000004</v>
      </c>
      <c r="F83" s="26">
        <f t="shared" si="4"/>
        <v>92134.085392874069</v>
      </c>
      <c r="G83" s="78">
        <f t="shared" si="5"/>
        <v>10</v>
      </c>
      <c r="H83" s="26">
        <f t="shared" si="6"/>
        <v>9213.4085392874076</v>
      </c>
      <c r="I83" s="78">
        <v>330</v>
      </c>
      <c r="J83" s="26">
        <f t="shared" si="7"/>
        <v>27.919419816022447</v>
      </c>
    </row>
    <row r="84" spans="2:10" s="76" customFormat="1" x14ac:dyDescent="0.25">
      <c r="B84" s="78" t="s">
        <v>19</v>
      </c>
      <c r="C84" s="78" t="s">
        <v>84</v>
      </c>
      <c r="D84" s="26">
        <f t="shared" si="3"/>
        <v>61127.188946437032</v>
      </c>
      <c r="E84" s="26">
        <f>(F77/40)*G84</f>
        <v>3689.8537500000002</v>
      </c>
      <c r="F84" s="26">
        <f t="shared" si="4"/>
        <v>64817.042696437034</v>
      </c>
      <c r="G84" s="78">
        <f t="shared" si="5"/>
        <v>5</v>
      </c>
      <c r="H84" s="26">
        <f t="shared" si="6"/>
        <v>12963.408539287408</v>
      </c>
      <c r="I84" s="78">
        <v>330</v>
      </c>
      <c r="J84" s="26">
        <f t="shared" si="7"/>
        <v>39.283056179658814</v>
      </c>
    </row>
    <row r="85" spans="2:10" s="76" customFormat="1" x14ac:dyDescent="0.25">
      <c r="B85" s="78" t="s">
        <v>20</v>
      </c>
      <c r="C85" s="78" t="s">
        <v>90</v>
      </c>
      <c r="D85" s="26">
        <f t="shared" si="3"/>
        <v>71127.188946437032</v>
      </c>
      <c r="E85" s="26">
        <f>(F77/40)*G85</f>
        <v>3689.8537500000002</v>
      </c>
      <c r="F85" s="26">
        <f t="shared" si="4"/>
        <v>74817.042696437027</v>
      </c>
      <c r="G85" s="78">
        <f t="shared" si="5"/>
        <v>5</v>
      </c>
      <c r="H85" s="26">
        <f t="shared" si="6"/>
        <v>14963.408539287406</v>
      </c>
      <c r="I85" s="78">
        <v>330</v>
      </c>
      <c r="J85" s="26">
        <f t="shared" si="7"/>
        <v>45.343662240264869</v>
      </c>
    </row>
    <row r="86" spans="2:10" s="76" customFormat="1" x14ac:dyDescent="0.25">
      <c r="B86" s="78" t="s">
        <v>30</v>
      </c>
      <c r="C86" s="78" t="s">
        <v>133</v>
      </c>
      <c r="D86" s="26">
        <f t="shared" si="3"/>
        <v>27377.188946437036</v>
      </c>
      <c r="E86" s="26">
        <f>(F77/40)*G86</f>
        <v>3689.8537500000002</v>
      </c>
      <c r="F86" s="26">
        <f t="shared" si="4"/>
        <v>31067.042696437034</v>
      </c>
      <c r="G86" s="78">
        <f t="shared" si="5"/>
        <v>5</v>
      </c>
      <c r="H86" s="26">
        <f t="shared" si="6"/>
        <v>6213.4085392874067</v>
      </c>
      <c r="I86" s="78">
        <v>100</v>
      </c>
      <c r="J86" s="26">
        <f t="shared" si="7"/>
        <v>62.13408539287407</v>
      </c>
    </row>
    <row r="87" spans="2:10" s="76" customFormat="1" x14ac:dyDescent="0.25">
      <c r="B87" s="78" t="s">
        <v>31</v>
      </c>
      <c r="C87" s="78" t="s">
        <v>29</v>
      </c>
      <c r="D87" s="26">
        <f t="shared" si="3"/>
        <v>26127.188946437036</v>
      </c>
      <c r="E87" s="26">
        <f>(F77/40)*G87</f>
        <v>3689.8537500000002</v>
      </c>
      <c r="F87" s="26">
        <f t="shared" si="4"/>
        <v>29817.042696437034</v>
      </c>
      <c r="G87" s="78">
        <f t="shared" si="5"/>
        <v>5</v>
      </c>
      <c r="H87" s="26">
        <f t="shared" si="6"/>
        <v>5963.4085392874067</v>
      </c>
      <c r="I87" s="78">
        <v>500</v>
      </c>
      <c r="J87" s="26">
        <f t="shared" si="7"/>
        <v>11.926817078574814</v>
      </c>
    </row>
    <row r="88" spans="2:10" ht="19.149999999999999" customHeight="1" x14ac:dyDescent="0.25">
      <c r="B88" s="6"/>
      <c r="D88" s="26">
        <f>SUM(D82:D87)</f>
        <v>325267.51157149626</v>
      </c>
      <c r="E88" s="26">
        <f>SUM(E82:E87)</f>
        <v>29518.830000000009</v>
      </c>
      <c r="F88" s="26">
        <f t="shared" si="4"/>
        <v>354786.34157149628</v>
      </c>
    </row>
    <row r="89" spans="2:10" ht="19.149999999999999" customHeight="1" x14ac:dyDescent="0.25">
      <c r="B89" s="6"/>
      <c r="D89" s="36"/>
      <c r="E89" s="36"/>
      <c r="F89" s="36"/>
    </row>
    <row r="91" spans="2:10" ht="18" x14ac:dyDescent="0.25">
      <c r="C91" s="117" t="s">
        <v>115</v>
      </c>
    </row>
    <row r="93" spans="2:10" ht="39" thickBot="1" x14ac:dyDescent="0.3">
      <c r="C93" s="94" t="s">
        <v>111</v>
      </c>
    </row>
    <row r="94" spans="2:10" ht="26.25" thickBot="1" x14ac:dyDescent="0.3">
      <c r="C94" s="79" t="s">
        <v>107</v>
      </c>
      <c r="D94" s="89" t="s">
        <v>112</v>
      </c>
      <c r="E94" s="89" t="s">
        <v>113</v>
      </c>
      <c r="F94" s="89" t="s">
        <v>114</v>
      </c>
    </row>
    <row r="95" spans="2:10" ht="15.75" thickBot="1" x14ac:dyDescent="0.3">
      <c r="C95" s="87">
        <v>2022</v>
      </c>
      <c r="D95" s="98">
        <v>3896</v>
      </c>
      <c r="E95" s="98">
        <v>1967</v>
      </c>
      <c r="F95" s="92">
        <f>(E95*100)/D95</f>
        <v>50.487679671457904</v>
      </c>
    </row>
    <row r="96" spans="2:10" ht="15.75" thickBot="1" x14ac:dyDescent="0.3">
      <c r="C96" s="87">
        <v>2023</v>
      </c>
      <c r="D96" s="98">
        <v>3714</v>
      </c>
      <c r="E96" s="98">
        <v>1945</v>
      </c>
      <c r="F96" s="92">
        <f t="shared" ref="F96:F97" si="8">(E96*100)/D96</f>
        <v>52.369413031771671</v>
      </c>
    </row>
    <row r="97" spans="2:12" ht="15.75" thickBot="1" x14ac:dyDescent="0.3">
      <c r="C97" s="87">
        <v>2024</v>
      </c>
      <c r="D97" s="98">
        <v>4993</v>
      </c>
      <c r="E97" s="98">
        <v>2715</v>
      </c>
      <c r="F97" s="92">
        <f t="shared" si="8"/>
        <v>54.37612657720809</v>
      </c>
    </row>
    <row r="98" spans="2:12" ht="26.25" thickBot="1" x14ac:dyDescent="0.3">
      <c r="C98" s="87"/>
      <c r="D98" s="88"/>
      <c r="E98" s="93" t="s">
        <v>121</v>
      </c>
      <c r="F98" s="92">
        <f>(F95+F96+F97)/3</f>
        <v>52.411073093479217</v>
      </c>
    </row>
    <row r="99" spans="2:12" x14ac:dyDescent="0.25">
      <c r="C99" s="95"/>
      <c r="D99" s="95"/>
      <c r="E99" s="96"/>
      <c r="F99" s="97"/>
    </row>
    <row r="100" spans="2:12" s="76" customFormat="1" ht="26.25" x14ac:dyDescent="0.25">
      <c r="B100" s="74" t="s">
        <v>123</v>
      </c>
      <c r="C100" s="74"/>
      <c r="D100" s="74"/>
      <c r="E100" s="74"/>
      <c r="F100" s="74"/>
      <c r="G100" s="75"/>
    </row>
    <row r="101" spans="2:12" s="76" customFormat="1" x14ac:dyDescent="0.25"/>
    <row r="102" spans="2:12" ht="15.75" thickBot="1" x14ac:dyDescent="0.3">
      <c r="C102" s="91" t="s">
        <v>122</v>
      </c>
      <c r="D102" s="91"/>
      <c r="E102">
        <v>52.41</v>
      </c>
    </row>
    <row r="103" spans="2:12" ht="26.25" thickBot="1" x14ac:dyDescent="0.3">
      <c r="C103" s="79" t="s">
        <v>95</v>
      </c>
      <c r="D103" s="80" t="s">
        <v>37</v>
      </c>
      <c r="E103" s="100" t="s">
        <v>96</v>
      </c>
      <c r="F103" s="118" t="s">
        <v>97</v>
      </c>
      <c r="G103" s="80" t="s">
        <v>98</v>
      </c>
      <c r="H103" s="80" t="s">
        <v>105</v>
      </c>
      <c r="I103" s="80" t="s">
        <v>106</v>
      </c>
    </row>
    <row r="104" spans="2:12" x14ac:dyDescent="0.25">
      <c r="C104" s="81" t="s">
        <v>99</v>
      </c>
      <c r="D104" s="136">
        <v>330</v>
      </c>
      <c r="E104" s="138">
        <f>D104*52.41%</f>
        <v>172.953</v>
      </c>
      <c r="F104" s="138">
        <v>10</v>
      </c>
      <c r="G104" s="138">
        <f>E104*F104</f>
        <v>1729.53</v>
      </c>
      <c r="H104" s="140">
        <v>10</v>
      </c>
      <c r="I104" s="134">
        <v>17300</v>
      </c>
    </row>
    <row r="105" spans="2:12" ht="15.75" thickBot="1" x14ac:dyDescent="0.3">
      <c r="C105" s="82" t="s">
        <v>100</v>
      </c>
      <c r="D105" s="137"/>
      <c r="E105" s="139"/>
      <c r="F105" s="139"/>
      <c r="G105" s="139"/>
      <c r="H105" s="141"/>
      <c r="I105" s="135"/>
    </row>
    <row r="106" spans="2:12" x14ac:dyDescent="0.25">
      <c r="C106" s="81" t="s">
        <v>99</v>
      </c>
      <c r="D106" s="136">
        <v>330</v>
      </c>
      <c r="E106" s="138">
        <f>D106*52.41%</f>
        <v>172.953</v>
      </c>
      <c r="F106" s="138">
        <v>15</v>
      </c>
      <c r="G106" s="138">
        <v>2595</v>
      </c>
      <c r="H106" s="140">
        <v>10</v>
      </c>
      <c r="I106" s="134">
        <f t="shared" ref="I106" si="9">G106*H106</f>
        <v>25950</v>
      </c>
      <c r="L106" s="101"/>
    </row>
    <row r="107" spans="2:12" ht="15.75" thickBot="1" x14ac:dyDescent="0.3">
      <c r="C107" s="82" t="s">
        <v>101</v>
      </c>
      <c r="D107" s="137"/>
      <c r="E107" s="139"/>
      <c r="F107" s="139"/>
      <c r="G107" s="139"/>
      <c r="H107" s="141"/>
      <c r="I107" s="135"/>
    </row>
    <row r="108" spans="2:12" x14ac:dyDescent="0.25">
      <c r="C108" s="81" t="s">
        <v>99</v>
      </c>
      <c r="D108" s="136">
        <v>330</v>
      </c>
      <c r="E108" s="138">
        <f>D108*52.41%</f>
        <v>172.953</v>
      </c>
      <c r="F108" s="138">
        <v>20</v>
      </c>
      <c r="G108" s="138">
        <v>3460</v>
      </c>
      <c r="H108" s="140">
        <v>5</v>
      </c>
      <c r="I108" s="134">
        <f t="shared" ref="I108" si="10">G108*H108</f>
        <v>17300</v>
      </c>
    </row>
    <row r="109" spans="2:12" ht="15.75" thickBot="1" x14ac:dyDescent="0.3">
      <c r="C109" s="82" t="s">
        <v>102</v>
      </c>
      <c r="D109" s="137"/>
      <c r="E109" s="139"/>
      <c r="F109" s="139"/>
      <c r="G109" s="139"/>
      <c r="H109" s="141"/>
      <c r="I109" s="135"/>
    </row>
    <row r="110" spans="2:12" x14ac:dyDescent="0.25">
      <c r="C110" s="81" t="s">
        <v>99</v>
      </c>
      <c r="D110" s="136">
        <v>330</v>
      </c>
      <c r="E110" s="138">
        <f>D110*52.41%</f>
        <v>172.953</v>
      </c>
      <c r="F110" s="138">
        <v>25</v>
      </c>
      <c r="G110" s="138">
        <v>4325</v>
      </c>
      <c r="H110" s="140">
        <v>5</v>
      </c>
      <c r="I110" s="134">
        <f t="shared" ref="I110" si="11">G110*H110</f>
        <v>21625</v>
      </c>
    </row>
    <row r="111" spans="2:12" ht="15.75" thickBot="1" x14ac:dyDescent="0.3">
      <c r="C111" s="82" t="s">
        <v>117</v>
      </c>
      <c r="D111" s="137"/>
      <c r="E111" s="139"/>
      <c r="F111" s="139"/>
      <c r="G111" s="139"/>
      <c r="H111" s="141"/>
      <c r="I111" s="135"/>
    </row>
    <row r="112" spans="2:12" ht="15.75" thickBot="1" x14ac:dyDescent="0.3">
      <c r="C112" s="82" t="s">
        <v>103</v>
      </c>
      <c r="D112" s="83">
        <v>500</v>
      </c>
      <c r="E112" s="85">
        <f>D112*52.41%</f>
        <v>262.05</v>
      </c>
      <c r="F112" s="85">
        <v>5</v>
      </c>
      <c r="G112" s="85">
        <f t="shared" ref="G112:G113" si="12">E112*F112</f>
        <v>1310.25</v>
      </c>
      <c r="H112" s="86">
        <v>5</v>
      </c>
      <c r="I112" s="120">
        <v>6550</v>
      </c>
    </row>
    <row r="113" spans="2:9" ht="15.75" thickBot="1" x14ac:dyDescent="0.3">
      <c r="C113" s="82" t="s">
        <v>104</v>
      </c>
      <c r="D113" s="83">
        <v>100</v>
      </c>
      <c r="E113" s="85">
        <v>52</v>
      </c>
      <c r="F113" s="85">
        <v>10</v>
      </c>
      <c r="G113" s="85">
        <f t="shared" si="12"/>
        <v>520</v>
      </c>
      <c r="H113" s="86">
        <v>5</v>
      </c>
      <c r="I113" s="120">
        <f t="shared" ref="I113" si="13">G113*H113</f>
        <v>2600</v>
      </c>
    </row>
    <row r="114" spans="2:9" ht="15.75" thickBot="1" x14ac:dyDescent="0.3">
      <c r="C114" s="149" t="s">
        <v>13</v>
      </c>
      <c r="D114" s="150"/>
      <c r="E114" s="150"/>
      <c r="F114" s="151"/>
      <c r="G114" s="84"/>
      <c r="H114" s="84"/>
      <c r="I114" s="121">
        <f>SUM(I104:I113)</f>
        <v>91325</v>
      </c>
    </row>
    <row r="115" spans="2:9" x14ac:dyDescent="0.25">
      <c r="C115" s="102"/>
      <c r="D115" s="102"/>
      <c r="E115" s="102"/>
      <c r="F115" s="102"/>
      <c r="G115" s="103"/>
      <c r="H115" s="103"/>
      <c r="I115" s="104"/>
    </row>
    <row r="116" spans="2:9" ht="30.75" thickBot="1" x14ac:dyDescent="0.3">
      <c r="C116" s="119" t="s">
        <v>116</v>
      </c>
    </row>
    <row r="117" spans="2:9" ht="26.25" thickBot="1" x14ac:dyDescent="0.3">
      <c r="C117" s="79" t="s">
        <v>107</v>
      </c>
      <c r="D117" s="79" t="s">
        <v>108</v>
      </c>
      <c r="E117" s="89" t="s">
        <v>109</v>
      </c>
      <c r="F117" s="89" t="s">
        <v>110</v>
      </c>
    </row>
    <row r="118" spans="2:9" ht="15.75" thickBot="1" x14ac:dyDescent="0.3">
      <c r="C118" s="87">
        <v>2022</v>
      </c>
      <c r="D118" s="99">
        <v>67846.399999999994</v>
      </c>
      <c r="E118" s="90">
        <v>20952.419999999998</v>
      </c>
      <c r="F118" s="92">
        <f t="shared" ref="F118:F120" si="14">(E118*100)/D118</f>
        <v>30.882139656636166</v>
      </c>
    </row>
    <row r="119" spans="2:9" ht="15.75" thickBot="1" x14ac:dyDescent="0.3">
      <c r="C119" s="87">
        <v>2023</v>
      </c>
      <c r="D119" s="99">
        <v>78776.820000000007</v>
      </c>
      <c r="E119" s="90">
        <v>26220.12</v>
      </c>
      <c r="F119" s="92">
        <f t="shared" si="14"/>
        <v>33.284054878071998</v>
      </c>
    </row>
    <row r="120" spans="2:9" ht="15.75" thickBot="1" x14ac:dyDescent="0.3">
      <c r="C120" s="87">
        <v>2024</v>
      </c>
      <c r="D120" s="99">
        <v>84367.25</v>
      </c>
      <c r="E120" s="90">
        <v>28542.65</v>
      </c>
      <c r="F120" s="92">
        <f t="shared" si="14"/>
        <v>33.831433405735048</v>
      </c>
    </row>
    <row r="121" spans="2:9" ht="26.25" thickBot="1" x14ac:dyDescent="0.3">
      <c r="C121" s="87"/>
      <c r="D121" s="88"/>
      <c r="E121" s="93" t="s">
        <v>150</v>
      </c>
      <c r="F121" s="92">
        <f>(F118+F119+F120)/3</f>
        <v>32.665875980147739</v>
      </c>
    </row>
    <row r="123" spans="2:9" s="76" customFormat="1" ht="26.25" x14ac:dyDescent="0.25">
      <c r="B123" s="74" t="s">
        <v>124</v>
      </c>
      <c r="C123" s="74"/>
      <c r="D123" s="74"/>
      <c r="E123" s="74"/>
      <c r="F123" s="74"/>
      <c r="G123" s="75"/>
    </row>
    <row r="124" spans="2:9" x14ac:dyDescent="0.25">
      <c r="C124" t="s">
        <v>126</v>
      </c>
      <c r="D124">
        <v>32.67</v>
      </c>
    </row>
    <row r="125" spans="2:9" x14ac:dyDescent="0.25">
      <c r="B125" s="8" t="s">
        <v>28</v>
      </c>
      <c r="C125" s="9"/>
      <c r="D125" s="20" t="s">
        <v>36</v>
      </c>
      <c r="E125" s="21" t="s">
        <v>85</v>
      </c>
      <c r="F125" s="21" t="s">
        <v>4</v>
      </c>
      <c r="G125" s="21" t="s">
        <v>127</v>
      </c>
    </row>
    <row r="126" spans="2:9" x14ac:dyDescent="0.25">
      <c r="B126" s="13">
        <v>1</v>
      </c>
      <c r="C126" s="14" t="s">
        <v>82</v>
      </c>
      <c r="D126" s="15">
        <v>1250</v>
      </c>
      <c r="E126" s="14">
        <v>10</v>
      </c>
      <c r="F126" s="15">
        <f t="shared" ref="F126:F131" si="15">D126*E126</f>
        <v>12500</v>
      </c>
      <c r="G126" s="15">
        <f>F126*$D124%</f>
        <v>4083.75</v>
      </c>
    </row>
    <row r="127" spans="2:9" x14ac:dyDescent="0.25">
      <c r="B127" s="13">
        <f>B126+1</f>
        <v>2</v>
      </c>
      <c r="C127" s="14" t="s">
        <v>83</v>
      </c>
      <c r="D127" s="15">
        <v>4250</v>
      </c>
      <c r="E127" s="14">
        <v>10</v>
      </c>
      <c r="F127" s="15">
        <f>D127*E127</f>
        <v>42500</v>
      </c>
      <c r="G127" s="15">
        <f>F127*32.67%</f>
        <v>13884.75</v>
      </c>
    </row>
    <row r="128" spans="2:9" x14ac:dyDescent="0.25">
      <c r="B128" s="13">
        <f>B127+1</f>
        <v>3</v>
      </c>
      <c r="C128" s="14" t="s">
        <v>84</v>
      </c>
      <c r="D128" s="15">
        <v>8000</v>
      </c>
      <c r="E128" s="14">
        <v>5</v>
      </c>
      <c r="F128" s="15">
        <f t="shared" si="15"/>
        <v>40000</v>
      </c>
      <c r="G128" s="15">
        <f>F128*32.67%</f>
        <v>13068</v>
      </c>
    </row>
    <row r="129" spans="2:7" x14ac:dyDescent="0.25">
      <c r="B129" s="13">
        <f>B128+1</f>
        <v>4</v>
      </c>
      <c r="C129" s="14" t="s">
        <v>90</v>
      </c>
      <c r="D129" s="15">
        <v>10000</v>
      </c>
      <c r="E129" s="14">
        <v>5</v>
      </c>
      <c r="F129" s="15">
        <f t="shared" si="15"/>
        <v>50000</v>
      </c>
      <c r="G129" s="15">
        <f>F129*32.67%</f>
        <v>16335</v>
      </c>
    </row>
    <row r="130" spans="2:7" x14ac:dyDescent="0.25">
      <c r="B130" s="13">
        <f>B129+1</f>
        <v>5</v>
      </c>
      <c r="C130" s="78" t="s">
        <v>133</v>
      </c>
      <c r="D130" s="15">
        <v>1250</v>
      </c>
      <c r="E130" s="14">
        <v>5</v>
      </c>
      <c r="F130" s="15">
        <f t="shared" si="15"/>
        <v>6250</v>
      </c>
      <c r="G130" s="15">
        <f>F130*32.67%</f>
        <v>2041.875</v>
      </c>
    </row>
    <row r="131" spans="2:7" x14ac:dyDescent="0.25">
      <c r="B131" s="13">
        <f>B130+1</f>
        <v>6</v>
      </c>
      <c r="C131" s="14" t="s">
        <v>29</v>
      </c>
      <c r="D131" s="15">
        <v>1000</v>
      </c>
      <c r="E131" s="14">
        <v>5</v>
      </c>
      <c r="F131" s="15">
        <f t="shared" si="15"/>
        <v>5000</v>
      </c>
      <c r="G131" s="15">
        <f>F131*32.67%</f>
        <v>1633.5</v>
      </c>
    </row>
    <row r="132" spans="2:7" x14ac:dyDescent="0.25">
      <c r="B132" s="70"/>
      <c r="C132" s="73" t="s">
        <v>81</v>
      </c>
      <c r="D132" s="72"/>
      <c r="E132" s="71">
        <f>SUM(E126:E131)</f>
        <v>40</v>
      </c>
      <c r="F132" s="72">
        <f>SUM(F126:F131)</f>
        <v>156250</v>
      </c>
      <c r="G132" s="72">
        <f>SUM(G126:G131)</f>
        <v>51046.875</v>
      </c>
    </row>
    <row r="134" spans="2:7" ht="26.25" x14ac:dyDescent="0.25">
      <c r="B134" s="74" t="s">
        <v>151</v>
      </c>
      <c r="C134" s="74"/>
      <c r="D134" s="74"/>
      <c r="E134" s="74"/>
      <c r="F134" s="74"/>
      <c r="G134" s="75"/>
    </row>
    <row r="136" spans="2:7" x14ac:dyDescent="0.25">
      <c r="B136" s="13">
        <v>1</v>
      </c>
      <c r="C136" s="14" t="s">
        <v>152</v>
      </c>
      <c r="D136" s="15">
        <f>I114</f>
        <v>91325</v>
      </c>
    </row>
    <row r="137" spans="2:7" x14ac:dyDescent="0.25">
      <c r="B137" s="13">
        <f>B136+1</f>
        <v>2</v>
      </c>
      <c r="C137" s="14" t="s">
        <v>153</v>
      </c>
      <c r="D137" s="15">
        <f>G132</f>
        <v>51046.875</v>
      </c>
    </row>
    <row r="138" spans="2:7" x14ac:dyDescent="0.25">
      <c r="B138" s="13"/>
      <c r="C138" s="122" t="s">
        <v>13</v>
      </c>
      <c r="D138" s="123">
        <f>SUM(D136:D137)</f>
        <v>142371.875</v>
      </c>
    </row>
    <row r="140" spans="2:7" s="76" customFormat="1" ht="26.25" x14ac:dyDescent="0.25">
      <c r="B140" s="74" t="s">
        <v>138</v>
      </c>
      <c r="C140" s="74"/>
      <c r="D140" s="74"/>
      <c r="E140" s="74"/>
      <c r="F140" s="74"/>
      <c r="G140" s="75"/>
    </row>
    <row r="141" spans="2:7" s="76" customFormat="1" ht="15.75" customHeight="1" x14ac:dyDescent="0.25"/>
    <row r="142" spans="2:7" s="76" customFormat="1" ht="14.25" customHeight="1" x14ac:dyDescent="0.25">
      <c r="B142" s="8" t="s">
        <v>134</v>
      </c>
      <c r="C142" s="9"/>
      <c r="D142"/>
    </row>
    <row r="143" spans="2:7" s="76" customFormat="1" ht="14.25" customHeight="1" x14ac:dyDescent="0.25">
      <c r="B143" s="14">
        <v>2</v>
      </c>
      <c r="C143" s="14" t="s">
        <v>136</v>
      </c>
      <c r="D143" s="15">
        <f>D138</f>
        <v>142371.875</v>
      </c>
    </row>
    <row r="144" spans="2:7" s="76" customFormat="1" ht="14.25" customHeight="1" x14ac:dyDescent="0.25">
      <c r="B144" s="14">
        <v>1</v>
      </c>
      <c r="C144" s="14" t="s">
        <v>135</v>
      </c>
      <c r="D144" s="15">
        <f>F88</f>
        <v>354786.34157149628</v>
      </c>
    </row>
    <row r="145" spans="2:7" s="76" customFormat="1" ht="14.25" customHeight="1" x14ac:dyDescent="0.25">
      <c r="B145" s="73"/>
      <c r="C145" s="73" t="s">
        <v>137</v>
      </c>
      <c r="D145" s="105">
        <f>D143-D144</f>
        <v>-212414.46657149628</v>
      </c>
    </row>
    <row r="146" spans="2:7" s="76" customFormat="1" ht="14.25" customHeight="1" x14ac:dyDescent="0.25">
      <c r="C146" s="76" t="s">
        <v>139</v>
      </c>
      <c r="D146" s="106">
        <v>0.4</v>
      </c>
    </row>
    <row r="147" spans="2:7" s="76" customFormat="1" ht="14.25" customHeight="1" x14ac:dyDescent="0.25">
      <c r="D147" s="106"/>
    </row>
    <row r="148" spans="2:7" s="76" customFormat="1" ht="14.25" customHeight="1" x14ac:dyDescent="0.25">
      <c r="D148" s="106"/>
    </row>
    <row r="149" spans="2:7" s="76" customFormat="1" ht="14.25" customHeight="1" x14ac:dyDescent="0.25">
      <c r="D149" s="106"/>
    </row>
    <row r="150" spans="2:7" s="76" customFormat="1" ht="26.25" x14ac:dyDescent="0.25">
      <c r="B150" s="74" t="s">
        <v>160</v>
      </c>
      <c r="C150" s="130"/>
      <c r="D150" s="131"/>
      <c r="E150" s="130"/>
    </row>
    <row r="151" spans="2:7" s="76" customFormat="1" ht="14.25" customHeight="1" x14ac:dyDescent="0.25">
      <c r="C151" s="78" t="s">
        <v>163</v>
      </c>
      <c r="D151" s="132">
        <f>G132</f>
        <v>51046.875</v>
      </c>
    </row>
    <row r="152" spans="2:7" s="76" customFormat="1" ht="14.25" customHeight="1" x14ac:dyDescent="0.25">
      <c r="C152" s="78" t="s">
        <v>135</v>
      </c>
      <c r="D152" s="132">
        <f>D144</f>
        <v>354786.34157149628</v>
      </c>
    </row>
    <row r="153" spans="2:7" s="76" customFormat="1" ht="14.25" customHeight="1" x14ac:dyDescent="0.25">
      <c r="C153" s="78" t="s">
        <v>161</v>
      </c>
      <c r="D153" s="132">
        <f>D152-D151</f>
        <v>303739.46657149628</v>
      </c>
    </row>
    <row r="154" spans="2:7" s="76" customFormat="1" ht="14.25" customHeight="1" x14ac:dyDescent="0.25">
      <c r="C154" s="78" t="s">
        <v>162</v>
      </c>
      <c r="D154" s="133">
        <v>0.1439</v>
      </c>
    </row>
    <row r="155" spans="2:7" s="76" customFormat="1" ht="14.25" customHeight="1" x14ac:dyDescent="0.25"/>
    <row r="156" spans="2:7" s="76" customFormat="1" ht="12.75" customHeight="1" x14ac:dyDescent="0.25"/>
    <row r="157" spans="2:7" s="76" customFormat="1" ht="26.25" x14ac:dyDescent="0.25">
      <c r="B157" s="74" t="s">
        <v>125</v>
      </c>
      <c r="C157" s="74"/>
      <c r="D157" s="74"/>
      <c r="E157" s="74"/>
      <c r="F157" s="74"/>
      <c r="G157" s="75"/>
    </row>
    <row r="158" spans="2:7" ht="14.25" customHeight="1" x14ac:dyDescent="0.25">
      <c r="B158" s="6"/>
      <c r="D158" s="36"/>
      <c r="E158" s="36"/>
      <c r="F158" s="36"/>
    </row>
    <row r="159" spans="2:7" x14ac:dyDescent="0.25">
      <c r="C159" t="s">
        <v>128</v>
      </c>
    </row>
    <row r="160" spans="2:7" x14ac:dyDescent="0.25">
      <c r="C160" s="48" t="s">
        <v>43</v>
      </c>
      <c r="D160" s="35" t="s">
        <v>38</v>
      </c>
      <c r="E160" s="35" t="s">
        <v>39</v>
      </c>
      <c r="F160" s="35" t="s">
        <v>40</v>
      </c>
      <c r="G160" s="35" t="s">
        <v>41</v>
      </c>
    </row>
    <row r="161" spans="2:7" x14ac:dyDescent="0.25">
      <c r="B161">
        <v>1</v>
      </c>
      <c r="C161" s="34" t="s">
        <v>86</v>
      </c>
      <c r="D161" s="29">
        <v>10</v>
      </c>
      <c r="E161" s="29">
        <v>10</v>
      </c>
      <c r="F161" s="29">
        <v>5</v>
      </c>
      <c r="G161" s="29">
        <v>5</v>
      </c>
    </row>
    <row r="162" spans="2:7" x14ac:dyDescent="0.25">
      <c r="B162">
        <f>B161+1</f>
        <v>2</v>
      </c>
      <c r="C162" s="34" t="s">
        <v>87</v>
      </c>
      <c r="D162" s="29">
        <v>15</v>
      </c>
      <c r="E162" s="29">
        <v>10</v>
      </c>
      <c r="F162" s="29">
        <v>5</v>
      </c>
      <c r="G162" s="29">
        <v>5</v>
      </c>
    </row>
    <row r="163" spans="2:7" x14ac:dyDescent="0.25">
      <c r="B163">
        <f t="shared" ref="B163:B166" si="16">B162+1</f>
        <v>3</v>
      </c>
      <c r="C163" s="34" t="s">
        <v>88</v>
      </c>
      <c r="D163" s="29">
        <v>20</v>
      </c>
      <c r="E163" s="29">
        <v>15</v>
      </c>
      <c r="F163" s="29">
        <v>10</v>
      </c>
      <c r="G163" s="29">
        <v>10</v>
      </c>
    </row>
    <row r="164" spans="2:7" x14ac:dyDescent="0.25">
      <c r="B164">
        <f t="shared" si="16"/>
        <v>4</v>
      </c>
      <c r="C164" s="34" t="s">
        <v>91</v>
      </c>
      <c r="D164" s="29">
        <v>25</v>
      </c>
      <c r="E164" s="29">
        <v>20</v>
      </c>
      <c r="F164" s="29">
        <v>10</v>
      </c>
      <c r="G164" s="29">
        <v>10</v>
      </c>
    </row>
    <row r="165" spans="2:7" x14ac:dyDescent="0.25">
      <c r="B165">
        <f t="shared" si="16"/>
        <v>5</v>
      </c>
      <c r="C165" s="34" t="s">
        <v>94</v>
      </c>
      <c r="D165" s="143">
        <v>10</v>
      </c>
      <c r="E165" s="144"/>
      <c r="F165" s="144"/>
      <c r="G165" s="145"/>
    </row>
    <row r="166" spans="2:7" x14ac:dyDescent="0.25">
      <c r="B166">
        <f t="shared" si="16"/>
        <v>6</v>
      </c>
      <c r="C166" s="34" t="s">
        <v>42</v>
      </c>
      <c r="D166" s="143">
        <v>5</v>
      </c>
      <c r="E166" s="144"/>
      <c r="F166" s="144"/>
      <c r="G166" s="145"/>
    </row>
    <row r="170" spans="2:7" ht="18" customHeight="1" x14ac:dyDescent="0.25">
      <c r="C170" s="129" t="s">
        <v>155</v>
      </c>
      <c r="D170" s="35" t="s">
        <v>38</v>
      </c>
      <c r="E170" s="35" t="s">
        <v>39</v>
      </c>
      <c r="F170" s="35" t="s">
        <v>40</v>
      </c>
      <c r="G170" s="35" t="s">
        <v>41</v>
      </c>
    </row>
    <row r="171" spans="2:7" x14ac:dyDescent="0.25">
      <c r="B171">
        <v>1</v>
      </c>
      <c r="C171" s="34" t="s">
        <v>86</v>
      </c>
      <c r="D171" s="49">
        <f>D161/$J$82</f>
        <v>0.53110945129940945</v>
      </c>
      <c r="E171" s="49">
        <f t="shared" ref="E171:G171" si="17">E161/$J$82</f>
        <v>0.53110945129940945</v>
      </c>
      <c r="F171" s="49">
        <f t="shared" si="17"/>
        <v>0.26555472564970473</v>
      </c>
      <c r="G171" s="49">
        <f t="shared" si="17"/>
        <v>0.26555472564970473</v>
      </c>
    </row>
    <row r="172" spans="2:7" x14ac:dyDescent="0.25">
      <c r="B172">
        <f>B171+1</f>
        <v>2</v>
      </c>
      <c r="C172" s="34" t="s">
        <v>87</v>
      </c>
      <c r="D172" s="49">
        <f>D162/$J$83</f>
        <v>0.53726044806245477</v>
      </c>
      <c r="E172" s="49">
        <f t="shared" ref="E172:G172" si="18">E162/$J$83</f>
        <v>0.35817363204163655</v>
      </c>
      <c r="F172" s="49">
        <f t="shared" si="18"/>
        <v>0.17908681602081827</v>
      </c>
      <c r="G172" s="49">
        <f t="shared" si="18"/>
        <v>0.17908681602081827</v>
      </c>
    </row>
    <row r="173" spans="2:7" x14ac:dyDescent="0.25">
      <c r="B173">
        <f t="shared" ref="B173:B176" si="19">B172+1</f>
        <v>3</v>
      </c>
      <c r="C173" s="34" t="s">
        <v>88</v>
      </c>
      <c r="D173" s="49">
        <f>D163/$J$84</f>
        <v>0.50912535696131034</v>
      </c>
      <c r="E173" s="49">
        <f t="shared" ref="E173:G173" si="20">E163/$J$84</f>
        <v>0.3818440177209827</v>
      </c>
      <c r="F173" s="49">
        <f t="shared" si="20"/>
        <v>0.25456267848065517</v>
      </c>
      <c r="G173" s="49">
        <f t="shared" si="20"/>
        <v>0.25456267848065517</v>
      </c>
    </row>
    <row r="174" spans="2:7" x14ac:dyDescent="0.25">
      <c r="B174">
        <f t="shared" si="19"/>
        <v>4</v>
      </c>
      <c r="C174" s="34" t="s">
        <v>89</v>
      </c>
      <c r="D174" s="49">
        <f>D164/$J$85</f>
        <v>0.55134496784867471</v>
      </c>
      <c r="E174" s="49">
        <f t="shared" ref="E174:G174" si="21">E164/$J$85</f>
        <v>0.44107597427893974</v>
      </c>
      <c r="F174" s="49">
        <f t="shared" si="21"/>
        <v>0.22053798713946987</v>
      </c>
      <c r="G174" s="49">
        <f t="shared" si="21"/>
        <v>0.22053798713946987</v>
      </c>
    </row>
    <row r="175" spans="2:7" x14ac:dyDescent="0.25">
      <c r="B175">
        <f t="shared" si="19"/>
        <v>5</v>
      </c>
      <c r="C175" s="34" t="s">
        <v>94</v>
      </c>
      <c r="D175" s="146">
        <f>D165/$J$86</f>
        <v>0.16094225796951803</v>
      </c>
      <c r="E175" s="147"/>
      <c r="F175" s="147"/>
      <c r="G175" s="148"/>
    </row>
    <row r="176" spans="2:7" x14ac:dyDescent="0.25">
      <c r="B176">
        <f t="shared" si="19"/>
        <v>6</v>
      </c>
      <c r="C176" s="34" t="s">
        <v>42</v>
      </c>
      <c r="D176" s="146">
        <f>D166/$J$87</f>
        <v>0.41922333234924325</v>
      </c>
      <c r="E176" s="147"/>
      <c r="F176" s="147"/>
      <c r="G176" s="148"/>
    </row>
  </sheetData>
  <mergeCells count="30">
    <mergeCell ref="F49:G49"/>
    <mergeCell ref="D165:G165"/>
    <mergeCell ref="D166:G166"/>
    <mergeCell ref="D175:G175"/>
    <mergeCell ref="D176:G176"/>
    <mergeCell ref="C114:F114"/>
    <mergeCell ref="I104:I105"/>
    <mergeCell ref="D106:D107"/>
    <mergeCell ref="E106:E107"/>
    <mergeCell ref="F106:F107"/>
    <mergeCell ref="G106:G107"/>
    <mergeCell ref="H106:H107"/>
    <mergeCell ref="I106:I107"/>
    <mergeCell ref="D104:D105"/>
    <mergeCell ref="E104:E105"/>
    <mergeCell ref="F104:F105"/>
    <mergeCell ref="G104:G105"/>
    <mergeCell ref="H104:H105"/>
    <mergeCell ref="I108:I109"/>
    <mergeCell ref="D110:D111"/>
    <mergeCell ref="E110:E111"/>
    <mergeCell ref="F110:F111"/>
    <mergeCell ref="G110:G111"/>
    <mergeCell ref="H110:H111"/>
    <mergeCell ref="I110:I111"/>
    <mergeCell ref="D108:D109"/>
    <mergeCell ref="E108:E109"/>
    <mergeCell ref="F108:F109"/>
    <mergeCell ref="G108:G109"/>
    <mergeCell ref="H108:H109"/>
  </mergeCells>
  <hyperlinks>
    <hyperlink ref="B3" r:id="rId1" xr:uid="{69888F50-E88E-48AF-B359-B42C9AE97042}"/>
    <hyperlink ref="M9" r:id="rId2" xr:uid="{04C4A5D5-FA75-4995-BA1D-DDE293D50BA6}"/>
    <hyperlink ref="M56" r:id="rId3" xr:uid="{31B35CDA-8F3C-4B18-8588-8187703A3718}"/>
    <hyperlink ref="M55" r:id="rId4" xr:uid="{09A60E4F-16B4-4DA3-AB79-DFD998BBE803}"/>
  </hyperlinks>
  <pageMargins left="0.25" right="0.25" top="0.75" bottom="0.75" header="0.3" footer="0.3"/>
  <pageSetup paperSize="9" scale="48" fitToHeight="0" orientation="landscape"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D6B60-1CC9-4D9E-BBAC-C4566D35976E}">
  <dimension ref="C5:E9"/>
  <sheetViews>
    <sheetView workbookViewId="0">
      <selection activeCell="H10" sqref="H10"/>
    </sheetView>
  </sheetViews>
  <sheetFormatPr defaultColWidth="11.42578125" defaultRowHeight="15" x14ac:dyDescent="0.25"/>
  <cols>
    <col min="3" max="3" width="12.7109375" bestFit="1" customWidth="1"/>
    <col min="5" max="5" width="14.5703125" bestFit="1" customWidth="1"/>
  </cols>
  <sheetData>
    <row r="5" spans="3:5" x14ac:dyDescent="0.25">
      <c r="C5" s="17">
        <v>13926116.5</v>
      </c>
      <c r="D5">
        <v>0.11</v>
      </c>
      <c r="E5" s="107">
        <f>C5*D5%</f>
        <v>15318.728150000001</v>
      </c>
    </row>
    <row r="6" spans="3:5" x14ac:dyDescent="0.25">
      <c r="C6" s="17">
        <v>6281794.1600000001</v>
      </c>
      <c r="D6">
        <v>0.11</v>
      </c>
      <c r="E6" s="107">
        <f t="shared" ref="E6:E8" si="0">C6*D6%</f>
        <v>6909.9735760000003</v>
      </c>
    </row>
    <row r="7" spans="3:5" x14ac:dyDescent="0.25">
      <c r="C7" s="17">
        <v>914723.61</v>
      </c>
      <c r="D7">
        <v>0.11</v>
      </c>
      <c r="E7" s="107">
        <f t="shared" si="0"/>
        <v>1006.1959710000001</v>
      </c>
    </row>
    <row r="8" spans="3:5" x14ac:dyDescent="0.25">
      <c r="C8" s="17">
        <v>5712663.6200000001</v>
      </c>
      <c r="D8">
        <v>0.11</v>
      </c>
      <c r="E8" s="107">
        <f t="shared" si="0"/>
        <v>6283.9299820000006</v>
      </c>
    </row>
    <row r="9" spans="3:5" x14ac:dyDescent="0.25">
      <c r="C9" s="17">
        <f>SUM(C5:C8)</f>
        <v>26835297.890000001</v>
      </c>
      <c r="E9" s="107">
        <f>SUM(E5:E8)</f>
        <v>29518.827679000002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Casino Preu Publics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Montserrat Carretero Codina</dc:creator>
  <cp:lastModifiedBy>Marta Solé Muñoz</cp:lastModifiedBy>
  <cp:lastPrinted>2025-11-27T10:36:15Z</cp:lastPrinted>
  <dcterms:created xsi:type="dcterms:W3CDTF">2025-09-23T10:03:00Z</dcterms:created>
  <dcterms:modified xsi:type="dcterms:W3CDTF">2026-03-12T11:50:57Z</dcterms:modified>
</cp:coreProperties>
</file>